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Iestā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<sst xmlns="http://schemas.openxmlformats.org/spreadsheetml/2006/main" count="136" uniqueCount="133">
  <si>
    <t>Vadība</t>
  </si>
  <si>
    <t>Pakalpojumi</t>
  </si>
  <si>
    <t>01.830</t>
  </si>
  <si>
    <t>Izdevumi neparedzētiem gadījumiem</t>
  </si>
  <si>
    <t>05.000</t>
  </si>
  <si>
    <t>Atkritumu apsaimniekošana</t>
  </si>
  <si>
    <t>05.1001</t>
  </si>
  <si>
    <t>Notekūdeņu apsaimniekošana</t>
  </si>
  <si>
    <t>05.2002</t>
  </si>
  <si>
    <t>Pamatlīdzekļi</t>
  </si>
  <si>
    <t>06.000</t>
  </si>
  <si>
    <t>Kapu saimniecība</t>
  </si>
  <si>
    <t>06.60003</t>
  </si>
  <si>
    <t>06.60006</t>
  </si>
  <si>
    <t>Saimniecības nodaļa</t>
  </si>
  <si>
    <t>06.60010</t>
  </si>
  <si>
    <t>08.000</t>
  </si>
  <si>
    <t>Bibliotēka</t>
  </si>
  <si>
    <t>08.230</t>
  </si>
  <si>
    <t>08.29007</t>
  </si>
  <si>
    <t>09.000</t>
  </si>
  <si>
    <t>09.219061</t>
  </si>
  <si>
    <t>09.219062</t>
  </si>
  <si>
    <t>Komandējumi un dienesta braucieni</t>
  </si>
  <si>
    <t>Nemateriālie ieguldījumi</t>
  </si>
  <si>
    <t>09.600121</t>
  </si>
  <si>
    <t>09.600134</t>
  </si>
  <si>
    <t>09.600135</t>
  </si>
  <si>
    <t>Skolēnu pārvadājumi</t>
  </si>
  <si>
    <t>09.60021</t>
  </si>
  <si>
    <t>09.60022</t>
  </si>
  <si>
    <t>10.000</t>
  </si>
  <si>
    <t>Bāriņtiesa</t>
  </si>
  <si>
    <t>10.4001</t>
  </si>
  <si>
    <t>Atbalsts bezdarba gadījumā</t>
  </si>
  <si>
    <t>10.70005</t>
  </si>
  <si>
    <t>10.70002</t>
  </si>
  <si>
    <t>06.60007</t>
  </si>
  <si>
    <t>01.721</t>
  </si>
  <si>
    <t>Vispārēja rakstura transferti no pašvaldību budžeta pašvaldību budžetam</t>
  </si>
  <si>
    <t>03.600</t>
  </si>
  <si>
    <t>04.220</t>
  </si>
  <si>
    <t>Būvvalde</t>
  </si>
  <si>
    <t>Autotransports</t>
  </si>
  <si>
    <t>05.300</t>
  </si>
  <si>
    <t>06.4001</t>
  </si>
  <si>
    <t>06.60001</t>
  </si>
  <si>
    <t>06.60002</t>
  </si>
  <si>
    <t>08.1001</t>
  </si>
  <si>
    <t>Madlienas vidusskola</t>
  </si>
  <si>
    <t>09.82002</t>
  </si>
  <si>
    <t>09.82008</t>
  </si>
  <si>
    <t>10.70001</t>
  </si>
  <si>
    <t>10.70010</t>
  </si>
  <si>
    <t>Atalgojums</t>
  </si>
  <si>
    <t>Budžeta iestāžu nodokļu maksājumi</t>
  </si>
  <si>
    <t>Sociālie pabalsti natūrā</t>
  </si>
  <si>
    <t>04.430</t>
  </si>
  <si>
    <t>06.400</t>
  </si>
  <si>
    <t>06.60018</t>
  </si>
  <si>
    <t>08.330</t>
  </si>
  <si>
    <t>10.500</t>
  </si>
  <si>
    <t>40020020</t>
  </si>
  <si>
    <t>Pašvaldību parādu % nomaksa</t>
  </si>
  <si>
    <t>Sabiedriskās kārtības un drošības pakalpojumi</t>
  </si>
  <si>
    <t>Mājokļu apsaimniekošana</t>
  </si>
  <si>
    <t>Īpašuma uzmērīšanai un reģistrēšanai Zemesgrāmatā</t>
  </si>
  <si>
    <t>LAD projekts "Latvijas pagastu ozolu birzs"</t>
  </si>
  <si>
    <t>Sporta pasākumi</t>
  </si>
  <si>
    <t>Kultūras nams</t>
  </si>
  <si>
    <t>Laikraksts "Madlienas Vēstis"</t>
  </si>
  <si>
    <t>VPII Taurenītis pedagoģiskā personāla darba algas un VSAOI</t>
  </si>
  <si>
    <t>VPII Taurenītis</t>
  </si>
  <si>
    <t>Madlienas vidusskolas pedagoģiskā personāla darba algas un VSAOI</t>
  </si>
  <si>
    <t>Madlienas vidusskolas Krapes filiāle</t>
  </si>
  <si>
    <t>Kārļa Kažociņa Madlienas mūzikas un mākslas skolas pedagoģiskā personāla darba algas un VSAOI</t>
  </si>
  <si>
    <t>Kārļa Kažociņa Madlienas mūzikas un mākslas skola</t>
  </si>
  <si>
    <t>Ēdināšanas izdevumi VPII "Taurenītis"</t>
  </si>
  <si>
    <t>Ēdināšanas izdevumi Madlienas vidusskolā</t>
  </si>
  <si>
    <t>Ēdināšanas izdevumi Krapes filiālē</t>
  </si>
  <si>
    <t>Skolēnu pārvadājumi VW Crafter</t>
  </si>
  <si>
    <t>Sociālais dienests</t>
  </si>
  <si>
    <t>Sociālie pabalsti</t>
  </si>
  <si>
    <t>VTP "Madliena"</t>
  </si>
  <si>
    <t>Sabiedriskās organizācijas</t>
  </si>
  <si>
    <t>Iekšējie norēķini</t>
  </si>
  <si>
    <t>Kredīts</t>
  </si>
  <si>
    <t>Apgrozāmie līdzekļi gada beigās</t>
  </si>
  <si>
    <t>ATLĪDZĪBA</t>
  </si>
  <si>
    <t>Darba devēja valsts sociālās apdrošināšanas obligātās iemaksas, sociāla rakstura pabalsti un kompensācijas</t>
  </si>
  <si>
    <t>PRECES UN PAKALPOJUMI</t>
  </si>
  <si>
    <t>PROCENTU IZDEVUMI</t>
  </si>
  <si>
    <t>PAMATKAPITĀLA VEIDOŠANA</t>
  </si>
  <si>
    <t>SOCIĀLIE PABALSTI</t>
  </si>
  <si>
    <t>Sociālie pabalsti naudā</t>
  </si>
  <si>
    <t>Pārējie klasifikācijā neminētie maksājumi iedzīvotājiem natūrā un kompensācijas</t>
  </si>
  <si>
    <t>Uzturēšanās izdevumu transferti</t>
  </si>
  <si>
    <t>Autotransports (VF)</t>
  </si>
  <si>
    <t>Ielu apgaismošana (VF)</t>
  </si>
  <si>
    <t>Projekts PUMPURS</t>
  </si>
  <si>
    <t>MADLIENAS PAGASTA PAŠVALDĪBAS PAMATBUDŽETA IZDEVUMU TĀME 2020. GADAM</t>
  </si>
  <si>
    <t>Funkcionālās kategorijas kodi</t>
  </si>
  <si>
    <t>01.111</t>
  </si>
  <si>
    <t>01.891</t>
  </si>
  <si>
    <t>04.5104</t>
  </si>
  <si>
    <t>06.3002</t>
  </si>
  <si>
    <t>08.210</t>
  </si>
  <si>
    <t>09.100091</t>
  </si>
  <si>
    <t>09.100092</t>
  </si>
  <si>
    <t>09.219064</t>
  </si>
  <si>
    <t>09.51061</t>
  </si>
  <si>
    <t>09.51062</t>
  </si>
  <si>
    <t>Ekonomiskās kategorijas kodi</t>
  </si>
  <si>
    <t>Mežkopība</t>
  </si>
  <si>
    <t>Atkritumu apsaimniekošana (VF)</t>
  </si>
  <si>
    <t>Notekūdeņu apsaimniekošana (VF)</t>
  </si>
  <si>
    <t>Vides aizsardzība (VF)</t>
  </si>
  <si>
    <t>Ielu apgais mošana</t>
  </si>
  <si>
    <t>Skolēnu autobuss Renault Master</t>
  </si>
  <si>
    <t>KOPĀ   2020</t>
  </si>
  <si>
    <t>t.sk. ūdens un kanalizācija</t>
  </si>
  <si>
    <t>Krājumi, materiāli, energoresursi, prece, biroja preces un inventārs, ko neuzskaita kodā 5000</t>
  </si>
  <si>
    <t>Grāmatas un žurnāli</t>
  </si>
  <si>
    <t>KOPĀ 2020. GADĀ</t>
  </si>
  <si>
    <t>Kopā 2020.g. bez iekšējiem norēķiniem</t>
  </si>
  <si>
    <t>Ogres novada Madlienas pagasta pārvaldes vadītājs:                                  J. Siliņš</t>
  </si>
  <si>
    <t>Pašvaldības iestāžu papildus aktivitātes</t>
  </si>
  <si>
    <t>Projektu konkurss "Veidojam vidi ap mums"</t>
  </si>
  <si>
    <t>09.82054</t>
  </si>
  <si>
    <t>ERASMUS projekts</t>
  </si>
  <si>
    <r>
      <t xml:space="preserve">Ūdensapgāde </t>
    </r>
    <r>
      <rPr>
        <i/>
        <sz val="7"/>
        <rFont val="Arial"/>
        <family val="2"/>
      </rPr>
      <t>(KPI "ABZA")</t>
    </r>
  </si>
  <si>
    <r>
      <t xml:space="preserve">Siltumapgāde </t>
    </r>
    <r>
      <rPr>
        <i/>
        <sz val="7"/>
        <rFont val="Arial"/>
        <family val="2"/>
      </rPr>
      <t>(KPI "ABZA")</t>
    </r>
  </si>
  <si>
    <r>
      <t xml:space="preserve">KOPĀ 2020 </t>
    </r>
    <r>
      <rPr>
        <sz val="7"/>
        <rFont val="Arial"/>
        <family val="2"/>
      </rPr>
      <t xml:space="preserve"> (bez iekšējiem norēķiniem)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</si>
</sst>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55" applyFont="1" applyBorder="1" applyAlignment="1">
      <alignment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0" fontId="8" fillId="7" borderId="10" xfId="0" applyFont="1" applyFill="1" applyBorder="1" applyAlignment="1">
      <alignment horizontal="right" wrapText="1"/>
    </xf>
    <xf numFmtId="1" fontId="7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" fontId="7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58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ecbudz.kopsavilkums 2006.g un korekc." xfId="55"/>
    <cellStyle name="Note" xfId="56"/>
    <cellStyle name="Output" xfId="57"/>
    <cellStyle name="Percent" xfId="58"/>
    <cellStyle name="Procenti 3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ZERVE\Budzets%202020\Budzeta%20taame%202020.gad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ņ."/>
      <sheetName val="VTP Madliena tame"/>
      <sheetName val="Ieņ ar pans."/>
      <sheetName val="Izdevumi"/>
      <sheetName val="IzdEKK"/>
      <sheetName val="IzdEKKar pans."/>
      <sheetName val="Algu fonds"/>
      <sheetName val="Priorit. "/>
    </sheetNames>
    <sheetDataSet>
      <sheetData sheetId="3">
        <row r="107">
          <cell r="AM107">
            <v>151</v>
          </cell>
          <cell r="AT107">
            <v>29427</v>
          </cell>
        </row>
        <row r="117">
          <cell r="AT117">
            <v>11800</v>
          </cell>
        </row>
        <row r="124">
          <cell r="AT124">
            <v>18420</v>
          </cell>
        </row>
        <row r="132">
          <cell r="AZ132">
            <v>40004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PageLayoutView="0" workbookViewId="0" topLeftCell="A1">
      <selection activeCell="AW35" sqref="AW35"/>
    </sheetView>
  </sheetViews>
  <sheetFormatPr defaultColWidth="9.140625" defaultRowHeight="15"/>
  <cols>
    <col min="1" max="1" width="4.421875" style="1" bestFit="1" customWidth="1"/>
    <col min="2" max="2" width="18.28125" style="1" customWidth="1"/>
    <col min="3" max="3" width="6.140625" style="1" bestFit="1" customWidth="1"/>
    <col min="4" max="5" width="4.140625" style="1" bestFit="1" customWidth="1"/>
    <col min="6" max="7" width="4.421875" style="1" bestFit="1" customWidth="1"/>
    <col min="8" max="9" width="4.140625" style="1" bestFit="1" customWidth="1"/>
    <col min="10" max="10" width="5.28125" style="1" bestFit="1" customWidth="1"/>
    <col min="11" max="11" width="4.57421875" style="1" customWidth="1"/>
    <col min="12" max="12" width="5.28125" style="1" bestFit="1" customWidth="1"/>
    <col min="13" max="13" width="4.57421875" style="1" customWidth="1"/>
    <col min="14" max="14" width="5.28125" style="1" bestFit="1" customWidth="1"/>
    <col min="15" max="16" width="4.57421875" style="1" customWidth="1"/>
    <col min="17" max="17" width="5.28125" style="1" bestFit="1" customWidth="1"/>
    <col min="18" max="18" width="4.421875" style="1" bestFit="1" customWidth="1"/>
    <col min="19" max="19" width="4.00390625" style="1" customWidth="1"/>
    <col min="20" max="20" width="3.8515625" style="1" customWidth="1"/>
    <col min="21" max="21" width="5.7109375" style="1" customWidth="1"/>
    <col min="22" max="22" width="5.28125" style="1" bestFit="1" customWidth="1"/>
    <col min="23" max="23" width="5.140625" style="1" customWidth="1"/>
    <col min="24" max="24" width="5.28125" style="1" bestFit="1" customWidth="1"/>
    <col min="25" max="25" width="6.140625" style="1" bestFit="1" customWidth="1"/>
    <col min="26" max="26" width="5.00390625" style="1" customWidth="1"/>
    <col min="27" max="27" width="4.7109375" style="1" bestFit="1" customWidth="1"/>
    <col min="28" max="28" width="5.28125" style="1" bestFit="1" customWidth="1"/>
    <col min="29" max="29" width="5.28125" style="1" customWidth="1"/>
    <col min="30" max="30" width="4.7109375" style="1" customWidth="1"/>
    <col min="31" max="31" width="4.421875" style="1" bestFit="1" customWidth="1"/>
    <col min="32" max="32" width="5.7109375" style="1" bestFit="1" customWidth="1"/>
    <col min="33" max="35" width="6.140625" style="1" bestFit="1" customWidth="1"/>
    <col min="36" max="36" width="5.8515625" style="1" bestFit="1" customWidth="1"/>
    <col min="37" max="37" width="5.28125" style="1" bestFit="1" customWidth="1"/>
    <col min="38" max="38" width="6.140625" style="1" bestFit="1" customWidth="1"/>
    <col min="39" max="40" width="5.28125" style="1" bestFit="1" customWidth="1"/>
    <col min="41" max="41" width="4.7109375" style="1" bestFit="1" customWidth="1"/>
    <col min="42" max="42" width="4.421875" style="1" customWidth="1"/>
    <col min="43" max="43" width="4.7109375" style="1" bestFit="1" customWidth="1"/>
    <col min="44" max="44" width="4.57421875" style="1" customWidth="1"/>
    <col min="45" max="45" width="5.28125" style="1" bestFit="1" customWidth="1"/>
    <col min="46" max="46" width="5.140625" style="1" customWidth="1"/>
    <col min="47" max="47" width="4.7109375" style="1" customWidth="1"/>
    <col min="48" max="48" width="4.140625" style="1" bestFit="1" customWidth="1"/>
    <col min="49" max="50" width="5.28125" style="1" bestFit="1" customWidth="1"/>
    <col min="51" max="51" width="6.140625" style="1" bestFit="1" customWidth="1"/>
    <col min="52" max="52" width="5.28125" style="1" bestFit="1" customWidth="1"/>
    <col min="53" max="53" width="7.00390625" style="1" bestFit="1" customWidth="1"/>
    <col min="54" max="54" width="7.8515625" style="1" customWidth="1"/>
    <col min="55" max="55" width="5.00390625" style="1" bestFit="1" customWidth="1"/>
    <col min="56" max="56" width="5.421875" style="1" bestFit="1" customWidth="1"/>
    <col min="57" max="57" width="4.28125" style="1" bestFit="1" customWidth="1"/>
    <col min="58" max="16384" width="9.140625" style="1" customWidth="1"/>
  </cols>
  <sheetData>
    <row r="1" spans="1:57" ht="9.75">
      <c r="A1" s="11"/>
      <c r="B1" s="12" t="s">
        <v>100</v>
      </c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9.75">
      <c r="A2" s="13"/>
      <c r="B2" s="14"/>
      <c r="C2" s="14"/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ht="9.75">
      <c r="A3" s="79"/>
      <c r="B3" s="80" t="s">
        <v>101</v>
      </c>
      <c r="C3" s="15"/>
      <c r="D3" s="78"/>
      <c r="E3" s="78"/>
      <c r="F3" s="78"/>
      <c r="G3" s="16"/>
      <c r="H3" s="77"/>
      <c r="I3" s="77"/>
      <c r="J3" s="81"/>
      <c r="K3" s="17"/>
      <c r="L3" s="76" t="s">
        <v>4</v>
      </c>
      <c r="M3" s="77"/>
      <c r="N3" s="81"/>
      <c r="O3" s="17"/>
      <c r="P3" s="17"/>
      <c r="Q3" s="76" t="s">
        <v>10</v>
      </c>
      <c r="R3" s="77"/>
      <c r="S3" s="77"/>
      <c r="T3" s="77"/>
      <c r="U3" s="77"/>
      <c r="V3" s="77"/>
      <c r="W3" s="77"/>
      <c r="X3" s="77"/>
      <c r="Y3" s="77"/>
      <c r="Z3" s="81"/>
      <c r="AA3" s="76" t="s">
        <v>16</v>
      </c>
      <c r="AB3" s="77"/>
      <c r="AC3" s="77"/>
      <c r="AD3" s="17"/>
      <c r="AE3" s="18"/>
      <c r="AF3" s="78" t="s">
        <v>20</v>
      </c>
      <c r="AG3" s="78"/>
      <c r="AH3" s="78"/>
      <c r="AI3" s="78"/>
      <c r="AJ3" s="78"/>
      <c r="AK3" s="78"/>
      <c r="AL3" s="78"/>
      <c r="AM3" s="16"/>
      <c r="AN3" s="16"/>
      <c r="AO3" s="16"/>
      <c r="AP3" s="16"/>
      <c r="AQ3" s="19"/>
      <c r="AR3" s="19"/>
      <c r="AS3" s="16"/>
      <c r="AT3" s="16"/>
      <c r="AU3" s="16"/>
      <c r="AV3" s="16"/>
      <c r="AW3" s="20" t="s">
        <v>31</v>
      </c>
      <c r="AX3" s="16"/>
      <c r="AY3" s="16"/>
      <c r="AZ3" s="20"/>
      <c r="BA3" s="19"/>
      <c r="BB3" s="19"/>
      <c r="BC3" s="19"/>
      <c r="BD3" s="79"/>
      <c r="BE3" s="79"/>
    </row>
    <row r="4" spans="1:57" ht="19.5">
      <c r="A4" s="79"/>
      <c r="B4" s="80"/>
      <c r="C4" s="21" t="s">
        <v>102</v>
      </c>
      <c r="D4" s="22" t="s">
        <v>38</v>
      </c>
      <c r="E4" s="22" t="s">
        <v>2</v>
      </c>
      <c r="F4" s="22" t="s">
        <v>103</v>
      </c>
      <c r="G4" s="23" t="s">
        <v>40</v>
      </c>
      <c r="H4" s="22" t="s">
        <v>41</v>
      </c>
      <c r="I4" s="22" t="s">
        <v>57</v>
      </c>
      <c r="J4" s="22" t="s">
        <v>104</v>
      </c>
      <c r="K4" s="22" t="s">
        <v>104</v>
      </c>
      <c r="L4" s="22" t="s">
        <v>6</v>
      </c>
      <c r="M4" s="22" t="s">
        <v>6</v>
      </c>
      <c r="N4" s="22" t="s">
        <v>8</v>
      </c>
      <c r="O4" s="22" t="s">
        <v>8</v>
      </c>
      <c r="P4" s="22" t="s">
        <v>44</v>
      </c>
      <c r="Q4" s="22" t="s">
        <v>105</v>
      </c>
      <c r="R4" s="22" t="s">
        <v>58</v>
      </c>
      <c r="S4" s="22" t="s">
        <v>45</v>
      </c>
      <c r="T4" s="22" t="s">
        <v>46</v>
      </c>
      <c r="U4" s="22" t="s">
        <v>47</v>
      </c>
      <c r="V4" s="22" t="s">
        <v>12</v>
      </c>
      <c r="W4" s="22" t="s">
        <v>13</v>
      </c>
      <c r="X4" s="22" t="s">
        <v>37</v>
      </c>
      <c r="Y4" s="22" t="s">
        <v>15</v>
      </c>
      <c r="Z4" s="22" t="s">
        <v>59</v>
      </c>
      <c r="AA4" s="22" t="s">
        <v>48</v>
      </c>
      <c r="AB4" s="22" t="s">
        <v>106</v>
      </c>
      <c r="AC4" s="22" t="s">
        <v>18</v>
      </c>
      <c r="AD4" s="22" t="s">
        <v>19</v>
      </c>
      <c r="AE4" s="22" t="s">
        <v>60</v>
      </c>
      <c r="AF4" s="22" t="s">
        <v>107</v>
      </c>
      <c r="AG4" s="22" t="s">
        <v>108</v>
      </c>
      <c r="AH4" s="22" t="s">
        <v>21</v>
      </c>
      <c r="AI4" s="22" t="s">
        <v>22</v>
      </c>
      <c r="AJ4" s="22" t="s">
        <v>109</v>
      </c>
      <c r="AK4" s="22" t="s">
        <v>110</v>
      </c>
      <c r="AL4" s="22" t="s">
        <v>111</v>
      </c>
      <c r="AM4" s="22" t="s">
        <v>25</v>
      </c>
      <c r="AN4" s="22" t="s">
        <v>26</v>
      </c>
      <c r="AO4" s="22" t="s">
        <v>29</v>
      </c>
      <c r="AP4" s="22" t="s">
        <v>30</v>
      </c>
      <c r="AQ4" s="22" t="s">
        <v>27</v>
      </c>
      <c r="AR4" s="22" t="s">
        <v>50</v>
      </c>
      <c r="AS4" s="22" t="s">
        <v>51</v>
      </c>
      <c r="AT4" s="22" t="s">
        <v>128</v>
      </c>
      <c r="AU4" s="22" t="s">
        <v>33</v>
      </c>
      <c r="AV4" s="22" t="s">
        <v>61</v>
      </c>
      <c r="AW4" s="22" t="s">
        <v>52</v>
      </c>
      <c r="AX4" s="22" t="s">
        <v>36</v>
      </c>
      <c r="AY4" s="22" t="s">
        <v>35</v>
      </c>
      <c r="AZ4" s="22" t="s">
        <v>53</v>
      </c>
      <c r="BA4" s="19"/>
      <c r="BB4" s="19"/>
      <c r="BC4" s="19"/>
      <c r="BD4" s="24" t="s">
        <v>62</v>
      </c>
      <c r="BE4" s="25"/>
    </row>
    <row r="5" spans="1:57" ht="144.75" customHeight="1">
      <c r="A5" s="26" t="s">
        <v>112</v>
      </c>
      <c r="B5" s="11"/>
      <c r="C5" s="27" t="s">
        <v>0</v>
      </c>
      <c r="D5" s="28" t="s">
        <v>63</v>
      </c>
      <c r="E5" s="29" t="s">
        <v>39</v>
      </c>
      <c r="F5" s="30" t="s">
        <v>3</v>
      </c>
      <c r="G5" s="29" t="s">
        <v>64</v>
      </c>
      <c r="H5" s="29" t="s">
        <v>113</v>
      </c>
      <c r="I5" s="31" t="s">
        <v>42</v>
      </c>
      <c r="J5" s="29" t="s">
        <v>43</v>
      </c>
      <c r="K5" s="29" t="s">
        <v>97</v>
      </c>
      <c r="L5" s="31" t="s">
        <v>5</v>
      </c>
      <c r="M5" s="31" t="s">
        <v>114</v>
      </c>
      <c r="N5" s="31" t="s">
        <v>7</v>
      </c>
      <c r="O5" s="31" t="s">
        <v>115</v>
      </c>
      <c r="P5" s="31" t="s">
        <v>116</v>
      </c>
      <c r="Q5" s="31" t="s">
        <v>130</v>
      </c>
      <c r="R5" s="29" t="s">
        <v>117</v>
      </c>
      <c r="S5" s="29" t="s">
        <v>98</v>
      </c>
      <c r="T5" s="29" t="s">
        <v>65</v>
      </c>
      <c r="U5" s="29" t="s">
        <v>131</v>
      </c>
      <c r="V5" s="29" t="s">
        <v>11</v>
      </c>
      <c r="W5" s="29" t="s">
        <v>127</v>
      </c>
      <c r="X5" s="29" t="s">
        <v>66</v>
      </c>
      <c r="Y5" s="29" t="s">
        <v>14</v>
      </c>
      <c r="Z5" s="29" t="s">
        <v>67</v>
      </c>
      <c r="AA5" s="29" t="s">
        <v>68</v>
      </c>
      <c r="AB5" s="29" t="s">
        <v>17</v>
      </c>
      <c r="AC5" s="29" t="s">
        <v>69</v>
      </c>
      <c r="AD5" s="29" t="s">
        <v>126</v>
      </c>
      <c r="AE5" s="29" t="s">
        <v>70</v>
      </c>
      <c r="AF5" s="29" t="s">
        <v>71</v>
      </c>
      <c r="AG5" s="29" t="s">
        <v>72</v>
      </c>
      <c r="AH5" s="29" t="s">
        <v>73</v>
      </c>
      <c r="AI5" s="29" t="s">
        <v>49</v>
      </c>
      <c r="AJ5" s="29" t="s">
        <v>74</v>
      </c>
      <c r="AK5" s="29" t="s">
        <v>75</v>
      </c>
      <c r="AL5" s="29" t="s">
        <v>76</v>
      </c>
      <c r="AM5" s="29" t="s">
        <v>77</v>
      </c>
      <c r="AN5" s="29" t="s">
        <v>78</v>
      </c>
      <c r="AO5" s="29" t="s">
        <v>28</v>
      </c>
      <c r="AP5" s="29" t="s">
        <v>118</v>
      </c>
      <c r="AQ5" s="29" t="s">
        <v>79</v>
      </c>
      <c r="AR5" s="29" t="s">
        <v>99</v>
      </c>
      <c r="AS5" s="29" t="s">
        <v>80</v>
      </c>
      <c r="AT5" s="29" t="s">
        <v>129</v>
      </c>
      <c r="AU5" s="29" t="s">
        <v>32</v>
      </c>
      <c r="AV5" s="29" t="s">
        <v>34</v>
      </c>
      <c r="AW5" s="29" t="s">
        <v>81</v>
      </c>
      <c r="AX5" s="29" t="s">
        <v>82</v>
      </c>
      <c r="AY5" s="29" t="s">
        <v>83</v>
      </c>
      <c r="AZ5" s="29" t="s">
        <v>84</v>
      </c>
      <c r="BA5" s="32" t="s">
        <v>119</v>
      </c>
      <c r="BB5" s="33" t="s">
        <v>132</v>
      </c>
      <c r="BC5" s="30" t="s">
        <v>85</v>
      </c>
      <c r="BD5" s="28" t="s">
        <v>86</v>
      </c>
      <c r="BE5" s="30" t="s">
        <v>87</v>
      </c>
    </row>
    <row r="6" spans="1:57" s="2" customFormat="1" ht="9.75">
      <c r="A6" s="34">
        <v>1000</v>
      </c>
      <c r="B6" s="35" t="s">
        <v>88</v>
      </c>
      <c r="C6" s="36">
        <f aca="true" t="shared" si="0" ref="C6:AZ6">SUM(C7:C8)</f>
        <v>148860</v>
      </c>
      <c r="D6" s="37">
        <f t="shared" si="0"/>
        <v>0</v>
      </c>
      <c r="E6" s="37">
        <f t="shared" si="0"/>
        <v>0</v>
      </c>
      <c r="F6" s="37">
        <f t="shared" si="0"/>
        <v>6115</v>
      </c>
      <c r="G6" s="37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27897</v>
      </c>
      <c r="K6" s="38">
        <f t="shared" si="0"/>
        <v>5507</v>
      </c>
      <c r="L6" s="38">
        <f t="shared" si="0"/>
        <v>0</v>
      </c>
      <c r="M6" s="38">
        <f t="shared" si="0"/>
        <v>0</v>
      </c>
      <c r="N6" s="38">
        <f t="shared" si="0"/>
        <v>21197</v>
      </c>
      <c r="O6" s="38">
        <f t="shared" si="0"/>
        <v>0</v>
      </c>
      <c r="P6" s="38">
        <f t="shared" si="0"/>
        <v>0</v>
      </c>
      <c r="Q6" s="38">
        <f t="shared" si="0"/>
        <v>18623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8587</v>
      </c>
      <c r="W6" s="38">
        <f t="shared" si="0"/>
        <v>0</v>
      </c>
      <c r="X6" s="38">
        <f t="shared" si="0"/>
        <v>0</v>
      </c>
      <c r="Y6" s="38">
        <f t="shared" si="0"/>
        <v>82293</v>
      </c>
      <c r="Z6" s="38">
        <f t="shared" si="0"/>
        <v>0</v>
      </c>
      <c r="AA6" s="38">
        <f t="shared" si="0"/>
        <v>1869</v>
      </c>
      <c r="AB6" s="38">
        <f t="shared" si="0"/>
        <v>23929</v>
      </c>
      <c r="AC6" s="38">
        <f t="shared" si="0"/>
        <v>95779</v>
      </c>
      <c r="AD6" s="38">
        <f t="shared" si="0"/>
        <v>2032</v>
      </c>
      <c r="AE6" s="38">
        <f t="shared" si="0"/>
        <v>0</v>
      </c>
      <c r="AF6" s="38">
        <f t="shared" si="0"/>
        <v>45995</v>
      </c>
      <c r="AG6" s="38">
        <f t="shared" si="0"/>
        <v>289429</v>
      </c>
      <c r="AH6" s="38">
        <f t="shared" si="0"/>
        <v>371078</v>
      </c>
      <c r="AI6" s="38">
        <f t="shared" si="0"/>
        <v>134170</v>
      </c>
      <c r="AJ6" s="38">
        <f t="shared" si="0"/>
        <v>17500</v>
      </c>
      <c r="AK6" s="38">
        <f t="shared" si="0"/>
        <v>72863</v>
      </c>
      <c r="AL6" s="38">
        <f t="shared" si="0"/>
        <v>102742</v>
      </c>
      <c r="AM6" s="38">
        <f t="shared" si="0"/>
        <v>0</v>
      </c>
      <c r="AN6" s="38">
        <f>SUM(AN7:AN8)</f>
        <v>32790</v>
      </c>
      <c r="AO6" s="38">
        <f t="shared" si="0"/>
        <v>1685</v>
      </c>
      <c r="AP6" s="38">
        <f t="shared" si="0"/>
        <v>0</v>
      </c>
      <c r="AQ6" s="38">
        <f t="shared" si="0"/>
        <v>7566</v>
      </c>
      <c r="AR6" s="38">
        <f t="shared" si="0"/>
        <v>2645</v>
      </c>
      <c r="AS6" s="38">
        <f t="shared" si="0"/>
        <v>5799</v>
      </c>
      <c r="AT6" s="38">
        <f t="shared" si="0"/>
        <v>0</v>
      </c>
      <c r="AU6" s="38">
        <f t="shared" si="0"/>
        <v>0</v>
      </c>
      <c r="AV6" s="38">
        <f t="shared" si="0"/>
        <v>0</v>
      </c>
      <c r="AW6" s="38">
        <f>SUM(AW7:AW8)</f>
        <v>0</v>
      </c>
      <c r="AX6" s="38">
        <f t="shared" si="0"/>
        <v>0</v>
      </c>
      <c r="AY6" s="38">
        <f t="shared" si="0"/>
        <v>388610</v>
      </c>
      <c r="AZ6" s="38">
        <f t="shared" si="0"/>
        <v>0</v>
      </c>
      <c r="BA6" s="38">
        <f aca="true" t="shared" si="1" ref="BA6:BA26">SUM(C6:AZ6)</f>
        <v>1915560</v>
      </c>
      <c r="BB6" s="38">
        <f>SUM(BB7:BB8)</f>
        <v>1915560</v>
      </c>
      <c r="BC6" s="39"/>
      <c r="BD6" s="38"/>
      <c r="BE6" s="38"/>
    </row>
    <row r="7" spans="1:57" ht="9.75">
      <c r="A7" s="19">
        <v>1100</v>
      </c>
      <c r="B7" s="40" t="s">
        <v>54</v>
      </c>
      <c r="C7" s="41">
        <v>114538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f>21585-1900</f>
        <v>19685</v>
      </c>
      <c r="K7" s="41">
        <f>7500-3200</f>
        <v>4300</v>
      </c>
      <c r="L7" s="41">
        <v>0</v>
      </c>
      <c r="M7" s="41">
        <v>0</v>
      </c>
      <c r="N7" s="41">
        <v>15510</v>
      </c>
      <c r="O7" s="41">
        <v>0</v>
      </c>
      <c r="P7" s="41">
        <v>0</v>
      </c>
      <c r="Q7" s="41">
        <f>15531-1340</f>
        <v>14191</v>
      </c>
      <c r="R7" s="41">
        <v>0</v>
      </c>
      <c r="S7" s="41">
        <v>0</v>
      </c>
      <c r="T7" s="41">
        <v>0</v>
      </c>
      <c r="U7" s="41">
        <v>0</v>
      </c>
      <c r="V7" s="41">
        <v>6599</v>
      </c>
      <c r="W7" s="41"/>
      <c r="X7" s="41">
        <v>0</v>
      </c>
      <c r="Y7" s="41">
        <f>64031-3414</f>
        <v>60617</v>
      </c>
      <c r="Z7" s="41">
        <v>0</v>
      </c>
      <c r="AA7" s="41">
        <v>1506</v>
      </c>
      <c r="AB7" s="41">
        <v>18451</v>
      </c>
      <c r="AC7" s="41">
        <f>72307+2000</f>
        <v>74307</v>
      </c>
      <c r="AD7" s="41">
        <v>1678</v>
      </c>
      <c r="AE7" s="41">
        <f>2000-2000</f>
        <v>0</v>
      </c>
      <c r="AF7" s="41">
        <f>23654+13412</f>
        <v>37066</v>
      </c>
      <c r="AG7" s="41">
        <v>221411</v>
      </c>
      <c r="AH7" s="41">
        <f>194886+95956+8197</f>
        <v>299039</v>
      </c>
      <c r="AI7" s="41">
        <v>93646</v>
      </c>
      <c r="AJ7" s="41">
        <f>24115-10977</f>
        <v>13138</v>
      </c>
      <c r="AK7" s="41">
        <f>57688+1029</f>
        <v>58717</v>
      </c>
      <c r="AL7" s="41">
        <v>76191</v>
      </c>
      <c r="AM7" s="41">
        <v>0</v>
      </c>
      <c r="AN7" s="41">
        <v>25380</v>
      </c>
      <c r="AO7" s="41">
        <v>1358</v>
      </c>
      <c r="AP7" s="41">
        <v>0</v>
      </c>
      <c r="AQ7" s="41">
        <f>5360-1310</f>
        <v>4050</v>
      </c>
      <c r="AR7" s="41">
        <f>27+1436+646</f>
        <v>2109</v>
      </c>
      <c r="AS7" s="41">
        <v>4673</v>
      </c>
      <c r="AT7" s="41"/>
      <c r="AU7" s="41"/>
      <c r="AV7" s="41"/>
      <c r="AW7" s="41"/>
      <c r="AX7" s="41"/>
      <c r="AY7" s="41">
        <v>296958</v>
      </c>
      <c r="AZ7" s="41"/>
      <c r="BA7" s="38">
        <f t="shared" si="1"/>
        <v>1465118</v>
      </c>
      <c r="BB7" s="42">
        <f>BA7</f>
        <v>1465118</v>
      </c>
      <c r="BC7" s="42"/>
      <c r="BD7" s="41"/>
      <c r="BE7" s="41"/>
    </row>
    <row r="8" spans="1:57" ht="39.75" customHeight="1">
      <c r="A8" s="19">
        <v>1200</v>
      </c>
      <c r="B8" s="43" t="s">
        <v>89</v>
      </c>
      <c r="C8" s="44">
        <v>34322</v>
      </c>
      <c r="D8" s="44">
        <v>0</v>
      </c>
      <c r="E8" s="44">
        <v>0</v>
      </c>
      <c r="F8" s="44">
        <f>14540-8425</f>
        <v>6115</v>
      </c>
      <c r="G8" s="44">
        <v>0</v>
      </c>
      <c r="H8" s="44">
        <v>0</v>
      </c>
      <c r="I8" s="44">
        <v>0</v>
      </c>
      <c r="J8" s="44">
        <f>6312+1900</f>
        <v>8212</v>
      </c>
      <c r="K8" s="44">
        <f>1807-600</f>
        <v>1207</v>
      </c>
      <c r="L8" s="44">
        <v>0</v>
      </c>
      <c r="M8" s="44">
        <v>0</v>
      </c>
      <c r="N8" s="44">
        <f>4347+1340</f>
        <v>5687</v>
      </c>
      <c r="O8" s="44">
        <v>0</v>
      </c>
      <c r="P8" s="44">
        <v>0</v>
      </c>
      <c r="Q8" s="44">
        <v>4432</v>
      </c>
      <c r="R8" s="44">
        <v>0</v>
      </c>
      <c r="S8" s="44">
        <v>0</v>
      </c>
      <c r="T8" s="44">
        <v>0</v>
      </c>
      <c r="U8" s="44">
        <v>0</v>
      </c>
      <c r="V8" s="44">
        <v>1988</v>
      </c>
      <c r="W8" s="44">
        <v>0</v>
      </c>
      <c r="X8" s="44">
        <v>0</v>
      </c>
      <c r="Y8" s="44">
        <f>19200+2476</f>
        <v>21676</v>
      </c>
      <c r="Z8" s="44">
        <v>0</v>
      </c>
      <c r="AA8" s="44">
        <v>363</v>
      </c>
      <c r="AB8" s="44">
        <v>5478</v>
      </c>
      <c r="AC8" s="44">
        <v>21472</v>
      </c>
      <c r="AD8" s="44">
        <v>354</v>
      </c>
      <c r="AE8" s="44">
        <f>482-482</f>
        <v>0</v>
      </c>
      <c r="AF8" s="44">
        <f>5698+3231</f>
        <v>8929</v>
      </c>
      <c r="AG8" s="44">
        <v>68018</v>
      </c>
      <c r="AH8" s="44">
        <f>46948+23116+1975</f>
        <v>72039</v>
      </c>
      <c r="AI8" s="44">
        <v>40524</v>
      </c>
      <c r="AJ8" s="44">
        <f>7238-2876</f>
        <v>4362</v>
      </c>
      <c r="AK8" s="44">
        <f>13898+248</f>
        <v>14146</v>
      </c>
      <c r="AL8" s="44">
        <v>26551</v>
      </c>
      <c r="AM8" s="44">
        <v>0</v>
      </c>
      <c r="AN8" s="44">
        <v>7410</v>
      </c>
      <c r="AO8" s="44">
        <v>327</v>
      </c>
      <c r="AP8" s="44">
        <v>0</v>
      </c>
      <c r="AQ8" s="44">
        <f>1634+1882</f>
        <v>3516</v>
      </c>
      <c r="AR8" s="44">
        <f>7+374+155</f>
        <v>536</v>
      </c>
      <c r="AS8" s="44">
        <v>1126</v>
      </c>
      <c r="AT8" s="44"/>
      <c r="AU8" s="44"/>
      <c r="AV8" s="44">
        <v>0</v>
      </c>
      <c r="AW8" s="44">
        <v>0</v>
      </c>
      <c r="AX8" s="44">
        <v>0</v>
      </c>
      <c r="AY8" s="42">
        <v>91652</v>
      </c>
      <c r="AZ8" s="42"/>
      <c r="BA8" s="38">
        <f t="shared" si="1"/>
        <v>450442</v>
      </c>
      <c r="BB8" s="45">
        <f>BA8</f>
        <v>450442</v>
      </c>
      <c r="BC8" s="42"/>
      <c r="BD8" s="42"/>
      <c r="BE8" s="42"/>
    </row>
    <row r="9" spans="1:57" s="2" customFormat="1" ht="18.75">
      <c r="A9" s="34">
        <v>2000</v>
      </c>
      <c r="B9" s="46" t="s">
        <v>90</v>
      </c>
      <c r="C9" s="47">
        <f aca="true" t="shared" si="2" ref="C9:AZ9">C10+C11+C13+C14+C15</f>
        <v>9645</v>
      </c>
      <c r="D9" s="47">
        <f t="shared" si="2"/>
        <v>152</v>
      </c>
      <c r="E9" s="47">
        <f t="shared" si="2"/>
        <v>0</v>
      </c>
      <c r="F9" s="47">
        <f t="shared" si="2"/>
        <v>0</v>
      </c>
      <c r="G9" s="47">
        <f t="shared" si="2"/>
        <v>5200</v>
      </c>
      <c r="H9" s="47">
        <f t="shared" si="2"/>
        <v>0</v>
      </c>
      <c r="I9" s="47">
        <f t="shared" si="2"/>
        <v>464</v>
      </c>
      <c r="J9" s="47">
        <f t="shared" si="2"/>
        <v>19160</v>
      </c>
      <c r="K9" s="47">
        <f t="shared" si="2"/>
        <v>16589</v>
      </c>
      <c r="L9" s="47">
        <f t="shared" si="2"/>
        <v>35867</v>
      </c>
      <c r="M9" s="47">
        <f t="shared" si="2"/>
        <v>8300</v>
      </c>
      <c r="N9" s="47">
        <f t="shared" si="2"/>
        <v>19710</v>
      </c>
      <c r="O9" s="47">
        <f t="shared" si="2"/>
        <v>6444</v>
      </c>
      <c r="P9" s="47">
        <f t="shared" si="2"/>
        <v>0</v>
      </c>
      <c r="Q9" s="47">
        <f t="shared" si="2"/>
        <v>21460</v>
      </c>
      <c r="R9" s="47">
        <f t="shared" si="2"/>
        <v>6225</v>
      </c>
      <c r="S9" s="47">
        <f t="shared" si="2"/>
        <v>2450</v>
      </c>
      <c r="T9" s="47">
        <f t="shared" si="2"/>
        <v>0</v>
      </c>
      <c r="U9" s="47">
        <f t="shared" si="2"/>
        <v>129795</v>
      </c>
      <c r="V9" s="47">
        <f t="shared" si="2"/>
        <v>7501</v>
      </c>
      <c r="W9" s="47">
        <f t="shared" si="2"/>
        <v>1494</v>
      </c>
      <c r="X9" s="47">
        <f t="shared" si="2"/>
        <v>8233</v>
      </c>
      <c r="Y9" s="47">
        <f t="shared" si="2"/>
        <v>57522</v>
      </c>
      <c r="Z9" s="47">
        <f t="shared" si="2"/>
        <v>0</v>
      </c>
      <c r="AA9" s="47">
        <f t="shared" si="2"/>
        <v>4543</v>
      </c>
      <c r="AB9" s="47">
        <f t="shared" si="2"/>
        <v>4395</v>
      </c>
      <c r="AC9" s="47">
        <f t="shared" si="2"/>
        <v>50461</v>
      </c>
      <c r="AD9" s="47">
        <f t="shared" si="2"/>
        <v>4283</v>
      </c>
      <c r="AE9" s="47">
        <f t="shared" si="2"/>
        <v>1789</v>
      </c>
      <c r="AF9" s="47">
        <f t="shared" si="2"/>
        <v>0</v>
      </c>
      <c r="AG9" s="47">
        <f t="shared" si="2"/>
        <v>35060</v>
      </c>
      <c r="AH9" s="47">
        <f t="shared" si="2"/>
        <v>0</v>
      </c>
      <c r="AI9" s="47">
        <f t="shared" si="2"/>
        <v>113334</v>
      </c>
      <c r="AJ9" s="47">
        <f t="shared" si="2"/>
        <v>16598</v>
      </c>
      <c r="AK9" s="47">
        <f t="shared" si="2"/>
        <v>0</v>
      </c>
      <c r="AL9" s="47">
        <f t="shared" si="2"/>
        <v>28436</v>
      </c>
      <c r="AM9" s="47">
        <f t="shared" si="2"/>
        <v>18180</v>
      </c>
      <c r="AN9" s="47">
        <f t="shared" si="2"/>
        <v>39049</v>
      </c>
      <c r="AO9" s="47">
        <f t="shared" si="2"/>
        <v>1080</v>
      </c>
      <c r="AP9" s="47">
        <f t="shared" si="2"/>
        <v>3181</v>
      </c>
      <c r="AQ9" s="47">
        <f t="shared" si="2"/>
        <v>1452</v>
      </c>
      <c r="AR9" s="47">
        <f t="shared" si="2"/>
        <v>0</v>
      </c>
      <c r="AS9" s="47">
        <f t="shared" si="2"/>
        <v>7751</v>
      </c>
      <c r="AT9" s="47">
        <f t="shared" si="2"/>
        <v>4498</v>
      </c>
      <c r="AU9" s="47">
        <f t="shared" si="2"/>
        <v>198</v>
      </c>
      <c r="AV9" s="47">
        <f t="shared" si="2"/>
        <v>0</v>
      </c>
      <c r="AW9" s="47">
        <f t="shared" si="2"/>
        <v>2183</v>
      </c>
      <c r="AX9" s="47">
        <f t="shared" si="2"/>
        <v>0</v>
      </c>
      <c r="AY9" s="47">
        <f t="shared" si="2"/>
        <v>172503</v>
      </c>
      <c r="AZ9" s="47">
        <f t="shared" si="2"/>
        <v>3733</v>
      </c>
      <c r="BA9" s="38">
        <f t="shared" si="1"/>
        <v>868918</v>
      </c>
      <c r="BB9" s="47">
        <f>BB10+BB11+BB13+BB14+BB15</f>
        <v>864762</v>
      </c>
      <c r="BC9" s="39"/>
      <c r="BD9" s="47"/>
      <c r="BE9" s="47"/>
    </row>
    <row r="10" spans="1:57" ht="19.5">
      <c r="A10" s="19">
        <v>2100</v>
      </c>
      <c r="B10" s="43" t="s">
        <v>23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>80-80</f>
        <v>0</v>
      </c>
      <c r="AC10" s="48">
        <v>0</v>
      </c>
      <c r="AD10" s="48"/>
      <c r="AE10" s="48">
        <v>0</v>
      </c>
      <c r="AF10" s="48">
        <v>0</v>
      </c>
      <c r="AG10" s="48">
        <v>0</v>
      </c>
      <c r="AH10" s="48">
        <v>0</v>
      </c>
      <c r="AI10" s="48">
        <v>506</v>
      </c>
      <c r="AJ10" s="48">
        <v>0</v>
      </c>
      <c r="AK10" s="48">
        <v>0</v>
      </c>
      <c r="AL10" s="48">
        <v>160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3518</v>
      </c>
      <c r="AU10" s="48"/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38">
        <f t="shared" si="1"/>
        <v>4184</v>
      </c>
      <c r="BB10" s="42">
        <f>BA10</f>
        <v>4184</v>
      </c>
      <c r="BC10" s="42"/>
      <c r="BD10" s="48"/>
      <c r="BE10" s="48"/>
    </row>
    <row r="11" spans="1:57" ht="9.75">
      <c r="A11" s="19">
        <v>2200</v>
      </c>
      <c r="B11" s="43" t="s">
        <v>1</v>
      </c>
      <c r="C11" s="48">
        <f>3470+300</f>
        <v>3770</v>
      </c>
      <c r="D11" s="48">
        <v>152</v>
      </c>
      <c r="E11" s="48">
        <v>0</v>
      </c>
      <c r="F11" s="48">
        <v>0</v>
      </c>
      <c r="G11" s="48">
        <v>5200</v>
      </c>
      <c r="H11" s="48">
        <v>0</v>
      </c>
      <c r="I11" s="48">
        <v>284</v>
      </c>
      <c r="J11" s="48">
        <f>13960-3143</f>
        <v>10817</v>
      </c>
      <c r="K11" s="48">
        <f>15915-12726</f>
        <v>3189</v>
      </c>
      <c r="L11" s="48">
        <v>35867</v>
      </c>
      <c r="M11" s="48">
        <f>5500+2800</f>
        <v>8300</v>
      </c>
      <c r="N11" s="48">
        <v>13160</v>
      </c>
      <c r="O11" s="48">
        <f>6099-655</f>
        <v>5444</v>
      </c>
      <c r="P11" s="48">
        <v>0</v>
      </c>
      <c r="Q11" s="48">
        <f>14059+1500</f>
        <v>15559</v>
      </c>
      <c r="R11" s="48">
        <v>6225</v>
      </c>
      <c r="S11" s="48">
        <f>1500+550</f>
        <v>2050</v>
      </c>
      <c r="T11" s="48">
        <v>0</v>
      </c>
      <c r="U11" s="48">
        <v>128295</v>
      </c>
      <c r="V11" s="48">
        <v>7001</v>
      </c>
      <c r="W11" s="48">
        <v>0</v>
      </c>
      <c r="X11" s="48">
        <f>2600+5422</f>
        <v>8022</v>
      </c>
      <c r="Y11" s="48">
        <f>40716+1086</f>
        <v>41802</v>
      </c>
      <c r="Z11" s="48">
        <v>0</v>
      </c>
      <c r="AA11" s="48">
        <v>719</v>
      </c>
      <c r="AB11" s="48">
        <f>2500-120</f>
        <v>2380</v>
      </c>
      <c r="AC11" s="48">
        <f>38358-2623</f>
        <v>35735</v>
      </c>
      <c r="AD11" s="48">
        <v>550</v>
      </c>
      <c r="AE11" s="48">
        <f>1307+482</f>
        <v>1789</v>
      </c>
      <c r="AF11" s="48">
        <v>0</v>
      </c>
      <c r="AG11" s="48">
        <f>26971-1400</f>
        <v>25571</v>
      </c>
      <c r="AH11" s="48">
        <v>0</v>
      </c>
      <c r="AI11" s="48">
        <f>55162+23548</f>
        <v>78710</v>
      </c>
      <c r="AJ11" s="48">
        <f>7750+3969</f>
        <v>11719</v>
      </c>
      <c r="AK11" s="48">
        <v>0</v>
      </c>
      <c r="AL11" s="48">
        <v>14724</v>
      </c>
      <c r="AM11" s="48">
        <v>0</v>
      </c>
      <c r="AN11" s="48">
        <f>3906+565</f>
        <v>4471</v>
      </c>
      <c r="AO11" s="48">
        <v>0</v>
      </c>
      <c r="AP11" s="48">
        <f>2370-37</f>
        <v>2333</v>
      </c>
      <c r="AQ11" s="48">
        <f>115-102</f>
        <v>13</v>
      </c>
      <c r="AR11" s="48">
        <v>0</v>
      </c>
      <c r="AS11" s="48">
        <v>1990</v>
      </c>
      <c r="AT11" s="48">
        <v>980</v>
      </c>
      <c r="AU11" s="48"/>
      <c r="AV11" s="48">
        <v>0</v>
      </c>
      <c r="AW11" s="48">
        <v>683</v>
      </c>
      <c r="AX11" s="48">
        <v>0</v>
      </c>
      <c r="AY11" s="48">
        <v>42490</v>
      </c>
      <c r="AZ11" s="48">
        <v>2603</v>
      </c>
      <c r="BA11" s="38">
        <f t="shared" si="1"/>
        <v>522597</v>
      </c>
      <c r="BB11" s="45">
        <f>BA11-BC12</f>
        <v>518441</v>
      </c>
      <c r="BC11" s="42"/>
      <c r="BD11" s="48"/>
      <c r="BE11" s="48"/>
    </row>
    <row r="12" spans="1:57" ht="9.75">
      <c r="A12" s="19"/>
      <c r="B12" s="49" t="s">
        <v>120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902</v>
      </c>
      <c r="Z12" s="49">
        <v>0</v>
      </c>
      <c r="AA12" s="49">
        <v>0</v>
      </c>
      <c r="AB12" s="49">
        <v>0</v>
      </c>
      <c r="AC12" s="49">
        <v>154</v>
      </c>
      <c r="AD12" s="49"/>
      <c r="AE12" s="49">
        <v>0</v>
      </c>
      <c r="AF12" s="49">
        <v>0</v>
      </c>
      <c r="AG12" s="49">
        <v>1200</v>
      </c>
      <c r="AH12" s="49">
        <v>0</v>
      </c>
      <c r="AI12" s="49">
        <v>1500</v>
      </c>
      <c r="AJ12" s="49">
        <v>0</v>
      </c>
      <c r="AK12" s="49">
        <v>0</v>
      </c>
      <c r="AL12" s="49">
        <v>400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/>
      <c r="AU12" s="49"/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50">
        <v>4156</v>
      </c>
      <c r="BB12" s="51">
        <f>BA12-AG12-AI12-AL12-Y12-AC12</f>
        <v>0</v>
      </c>
      <c r="BC12" s="51">
        <f>AG12+AI12+AL12+Y12+AC12</f>
        <v>4156</v>
      </c>
      <c r="BD12" s="51"/>
      <c r="BE12" s="51"/>
    </row>
    <row r="13" spans="1:57" ht="39">
      <c r="A13" s="52">
        <v>2300</v>
      </c>
      <c r="B13" s="43" t="s">
        <v>121</v>
      </c>
      <c r="C13" s="48">
        <f>6666-1800</f>
        <v>4866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180</v>
      </c>
      <c r="J13" s="48">
        <f>7923-450</f>
        <v>7473</v>
      </c>
      <c r="K13" s="48">
        <f>12600-1200</f>
        <v>11400</v>
      </c>
      <c r="L13" s="48">
        <v>0</v>
      </c>
      <c r="M13" s="48">
        <v>0</v>
      </c>
      <c r="N13" s="48">
        <f>3680+1470</f>
        <v>5150</v>
      </c>
      <c r="O13" s="48">
        <v>1000</v>
      </c>
      <c r="P13" s="48">
        <v>0</v>
      </c>
      <c r="Q13" s="48">
        <v>2670</v>
      </c>
      <c r="R13" s="48">
        <v>0</v>
      </c>
      <c r="S13" s="48">
        <v>400</v>
      </c>
      <c r="T13" s="48">
        <v>0</v>
      </c>
      <c r="U13" s="48">
        <v>0</v>
      </c>
      <c r="V13" s="48">
        <v>400</v>
      </c>
      <c r="W13" s="48">
        <v>1494</v>
      </c>
      <c r="X13" s="48">
        <v>0</v>
      </c>
      <c r="Y13" s="48">
        <f>9810+4410</f>
        <v>14220</v>
      </c>
      <c r="Z13" s="48">
        <v>0</v>
      </c>
      <c r="AA13" s="48">
        <f>4484-660</f>
        <v>3824</v>
      </c>
      <c r="AB13" s="48">
        <v>1010</v>
      </c>
      <c r="AC13" s="48">
        <f>13956+400</f>
        <v>14356</v>
      </c>
      <c r="AD13" s="48">
        <v>3733</v>
      </c>
      <c r="AE13" s="48">
        <v>0</v>
      </c>
      <c r="AF13" s="48">
        <v>0</v>
      </c>
      <c r="AG13" s="48">
        <f>8089+1400</f>
        <v>9489</v>
      </c>
      <c r="AH13" s="48">
        <v>0</v>
      </c>
      <c r="AI13" s="48">
        <f>28575+4475</f>
        <v>33050</v>
      </c>
      <c r="AJ13" s="48">
        <f>15668-10789</f>
        <v>4879</v>
      </c>
      <c r="AK13" s="48">
        <v>0</v>
      </c>
      <c r="AL13" s="48">
        <f>12396+1100</f>
        <v>13496</v>
      </c>
      <c r="AM13" s="48">
        <v>18180</v>
      </c>
      <c r="AN13" s="48">
        <f>32423+2155</f>
        <v>34578</v>
      </c>
      <c r="AO13" s="48">
        <v>1080</v>
      </c>
      <c r="AP13" s="48">
        <v>700</v>
      </c>
      <c r="AQ13" s="48">
        <f>3536-2097</f>
        <v>1439</v>
      </c>
      <c r="AR13" s="48">
        <v>0</v>
      </c>
      <c r="AS13" s="48">
        <v>5650</v>
      </c>
      <c r="AT13" s="48">
        <v>0</v>
      </c>
      <c r="AU13" s="48">
        <v>198</v>
      </c>
      <c r="AV13" s="48">
        <v>0</v>
      </c>
      <c r="AW13" s="48">
        <v>1500</v>
      </c>
      <c r="AX13" s="48">
        <v>0</v>
      </c>
      <c r="AY13" s="48">
        <f>129700+13</f>
        <v>129713</v>
      </c>
      <c r="AZ13" s="48">
        <v>1130</v>
      </c>
      <c r="BA13" s="38">
        <f t="shared" si="1"/>
        <v>327258</v>
      </c>
      <c r="BB13" s="16">
        <f>BA13</f>
        <v>327258</v>
      </c>
      <c r="BC13" s="42"/>
      <c r="BD13" s="48"/>
      <c r="BE13" s="48"/>
    </row>
    <row r="14" spans="1:57" ht="9.75">
      <c r="A14" s="19">
        <v>2400</v>
      </c>
      <c r="B14" s="43" t="s">
        <v>122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1000</v>
      </c>
      <c r="AC14" s="43">
        <v>0</v>
      </c>
      <c r="AD14" s="43"/>
      <c r="AE14" s="43">
        <v>0</v>
      </c>
      <c r="AF14" s="43">
        <v>0</v>
      </c>
      <c r="AG14" s="43">
        <v>0</v>
      </c>
      <c r="AH14" s="43">
        <v>0</v>
      </c>
      <c r="AI14" s="43">
        <v>200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/>
      <c r="AV14" s="43">
        <v>0</v>
      </c>
      <c r="AW14" s="43">
        <v>0</v>
      </c>
      <c r="AX14" s="43">
        <v>0</v>
      </c>
      <c r="AY14" s="48">
        <v>300</v>
      </c>
      <c r="AZ14" s="43">
        <v>0</v>
      </c>
      <c r="BA14" s="38">
        <f t="shared" si="1"/>
        <v>1500</v>
      </c>
      <c r="BB14" s="42">
        <f>BA14</f>
        <v>1500</v>
      </c>
      <c r="BC14" s="42"/>
      <c r="BD14" s="43"/>
      <c r="BE14" s="43"/>
    </row>
    <row r="15" spans="1:57" ht="19.5">
      <c r="A15" s="19">
        <v>2500</v>
      </c>
      <c r="B15" s="43" t="s">
        <v>55</v>
      </c>
      <c r="C15" s="48">
        <f>594+415</f>
        <v>1009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870</v>
      </c>
      <c r="K15" s="48">
        <v>2000</v>
      </c>
      <c r="L15" s="48">
        <v>0</v>
      </c>
      <c r="M15" s="48">
        <v>0</v>
      </c>
      <c r="N15" s="48">
        <f>400+1000</f>
        <v>1400</v>
      </c>
      <c r="O15" s="48">
        <v>0</v>
      </c>
      <c r="P15" s="48">
        <v>0</v>
      </c>
      <c r="Q15" s="48">
        <f>2631+600</f>
        <v>3231</v>
      </c>
      <c r="R15" s="48">
        <v>0</v>
      </c>
      <c r="S15" s="48">
        <v>0</v>
      </c>
      <c r="T15" s="48">
        <v>0</v>
      </c>
      <c r="U15" s="48">
        <v>1500</v>
      </c>
      <c r="V15" s="48">
        <v>100</v>
      </c>
      <c r="W15" s="48">
        <v>0</v>
      </c>
      <c r="X15" s="48">
        <f>168+43</f>
        <v>211</v>
      </c>
      <c r="Y15" s="48">
        <v>1500</v>
      </c>
      <c r="Z15" s="48">
        <v>0</v>
      </c>
      <c r="AA15" s="48">
        <v>0</v>
      </c>
      <c r="AB15" s="48">
        <v>5</v>
      </c>
      <c r="AC15" s="48">
        <f>250+120</f>
        <v>370</v>
      </c>
      <c r="AD15" s="48"/>
      <c r="AE15" s="48">
        <v>0</v>
      </c>
      <c r="AF15" s="48">
        <v>0</v>
      </c>
      <c r="AG15" s="48">
        <v>0</v>
      </c>
      <c r="AH15" s="48">
        <v>0</v>
      </c>
      <c r="AI15" s="48">
        <v>868</v>
      </c>
      <c r="AJ15" s="48">
        <v>0</v>
      </c>
      <c r="AK15" s="48">
        <v>0</v>
      </c>
      <c r="AL15" s="48">
        <v>56</v>
      </c>
      <c r="AM15" s="48">
        <v>0</v>
      </c>
      <c r="AN15" s="48">
        <v>0</v>
      </c>
      <c r="AO15" s="48">
        <v>0</v>
      </c>
      <c r="AP15" s="48">
        <f>111+37</f>
        <v>148</v>
      </c>
      <c r="AQ15" s="48">
        <v>0</v>
      </c>
      <c r="AR15" s="48">
        <v>0</v>
      </c>
      <c r="AS15" s="48">
        <v>111</v>
      </c>
      <c r="AT15" s="48">
        <v>0</v>
      </c>
      <c r="AU15" s="48"/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38">
        <f t="shared" si="1"/>
        <v>13379</v>
      </c>
      <c r="BB15" s="42">
        <f>BA15</f>
        <v>13379</v>
      </c>
      <c r="BC15" s="42"/>
      <c r="BD15" s="48"/>
      <c r="BE15" s="48"/>
    </row>
    <row r="16" spans="1:57" ht="9.75">
      <c r="A16" s="34">
        <v>4000</v>
      </c>
      <c r="B16" s="46" t="s">
        <v>91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/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/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38">
        <f t="shared" si="1"/>
        <v>0</v>
      </c>
      <c r="BB16" s="47">
        <f>BA16</f>
        <v>0</v>
      </c>
      <c r="BC16" s="42"/>
      <c r="BD16" s="53"/>
      <c r="BE16" s="53"/>
    </row>
    <row r="17" spans="1:57" ht="18">
      <c r="A17" s="34">
        <v>5000</v>
      </c>
      <c r="B17" s="46" t="s">
        <v>92</v>
      </c>
      <c r="C17" s="47">
        <f aca="true" t="shared" si="3" ref="C17:AZ17">SUM(C18:C19)</f>
        <v>0</v>
      </c>
      <c r="D17" s="47">
        <f t="shared" si="3"/>
        <v>0</v>
      </c>
      <c r="E17" s="47">
        <f t="shared" si="3"/>
        <v>0</v>
      </c>
      <c r="F17" s="47">
        <f t="shared" si="3"/>
        <v>0</v>
      </c>
      <c r="G17" s="47">
        <f t="shared" si="3"/>
        <v>0</v>
      </c>
      <c r="H17" s="47">
        <f t="shared" si="3"/>
        <v>0</v>
      </c>
      <c r="I17" s="47">
        <f t="shared" si="3"/>
        <v>0</v>
      </c>
      <c r="J17" s="47">
        <f t="shared" si="3"/>
        <v>11759</v>
      </c>
      <c r="K17" s="47">
        <f t="shared" si="3"/>
        <v>46231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655</v>
      </c>
      <c r="P17" s="47">
        <f t="shared" si="3"/>
        <v>42330</v>
      </c>
      <c r="Q17" s="47">
        <f t="shared" si="3"/>
        <v>1530</v>
      </c>
      <c r="R17" s="47">
        <f t="shared" si="3"/>
        <v>0</v>
      </c>
      <c r="S17" s="47">
        <f t="shared" si="3"/>
        <v>4450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7420</v>
      </c>
      <c r="Z17" s="47">
        <f t="shared" si="3"/>
        <v>0</v>
      </c>
      <c r="AA17" s="47">
        <f t="shared" si="3"/>
        <v>660</v>
      </c>
      <c r="AB17" s="47">
        <f t="shared" si="3"/>
        <v>2730</v>
      </c>
      <c r="AC17" s="47">
        <f t="shared" si="3"/>
        <v>6335</v>
      </c>
      <c r="AD17" s="47">
        <f t="shared" si="3"/>
        <v>0</v>
      </c>
      <c r="AE17" s="47">
        <f t="shared" si="3"/>
        <v>0</v>
      </c>
      <c r="AF17" s="47">
        <f t="shared" si="3"/>
        <v>0</v>
      </c>
      <c r="AG17" s="47">
        <f t="shared" si="3"/>
        <v>0</v>
      </c>
      <c r="AH17" s="47">
        <f t="shared" si="3"/>
        <v>0</v>
      </c>
      <c r="AI17" s="47">
        <f t="shared" si="3"/>
        <v>54867</v>
      </c>
      <c r="AJ17" s="47">
        <f t="shared" si="3"/>
        <v>0</v>
      </c>
      <c r="AK17" s="47">
        <f t="shared" si="3"/>
        <v>0</v>
      </c>
      <c r="AL17" s="47">
        <f t="shared" si="3"/>
        <v>4275</v>
      </c>
      <c r="AM17" s="47">
        <f t="shared" si="3"/>
        <v>0</v>
      </c>
      <c r="AN17" s="47">
        <f>SUM(AN18:AN19)</f>
        <v>0</v>
      </c>
      <c r="AO17" s="47">
        <f t="shared" si="3"/>
        <v>0</v>
      </c>
      <c r="AP17" s="47">
        <f t="shared" si="3"/>
        <v>0</v>
      </c>
      <c r="AQ17" s="47">
        <f t="shared" si="3"/>
        <v>0</v>
      </c>
      <c r="AR17" s="47">
        <f t="shared" si="3"/>
        <v>0</v>
      </c>
      <c r="AS17" s="47">
        <f t="shared" si="3"/>
        <v>0</v>
      </c>
      <c r="AT17" s="47">
        <f t="shared" si="3"/>
        <v>0</v>
      </c>
      <c r="AU17" s="47">
        <f t="shared" si="3"/>
        <v>0</v>
      </c>
      <c r="AV17" s="47">
        <f t="shared" si="3"/>
        <v>0</v>
      </c>
      <c r="AW17" s="47">
        <f>SUM(AW18:AW19)</f>
        <v>0</v>
      </c>
      <c r="AX17" s="47">
        <f t="shared" si="3"/>
        <v>0</v>
      </c>
      <c r="AY17" s="47">
        <f t="shared" si="3"/>
        <v>57000</v>
      </c>
      <c r="AZ17" s="47">
        <f t="shared" si="3"/>
        <v>0</v>
      </c>
      <c r="BA17" s="38">
        <f t="shared" si="1"/>
        <v>240242</v>
      </c>
      <c r="BB17" s="47">
        <f>SUM(BB18:BB19)</f>
        <v>240242</v>
      </c>
      <c r="BC17" s="16"/>
      <c r="BD17" s="47"/>
      <c r="BE17" s="47"/>
    </row>
    <row r="18" spans="1:57" ht="9.75">
      <c r="A18" s="19">
        <v>5100</v>
      </c>
      <c r="B18" s="43" t="s">
        <v>24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/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/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/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38">
        <f t="shared" si="1"/>
        <v>0</v>
      </c>
      <c r="BB18" s="42">
        <f>BA18</f>
        <v>0</v>
      </c>
      <c r="BC18" s="16"/>
      <c r="BD18" s="16"/>
      <c r="BE18" s="16"/>
    </row>
    <row r="19" spans="1:57" ht="9.75">
      <c r="A19" s="19">
        <v>5200</v>
      </c>
      <c r="B19" s="43" t="s">
        <v>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f>8616+3143</f>
        <v>11759</v>
      </c>
      <c r="K19" s="48">
        <f>31231+15000</f>
        <v>46231</v>
      </c>
      <c r="L19" s="48">
        <v>0</v>
      </c>
      <c r="M19" s="48">
        <v>0</v>
      </c>
      <c r="N19" s="48">
        <v>0</v>
      </c>
      <c r="O19" s="48">
        <f>655</f>
        <v>655</v>
      </c>
      <c r="P19" s="48">
        <f>45130-2800</f>
        <v>42330</v>
      </c>
      <c r="Q19" s="48">
        <f>6100-4570</f>
        <v>1530</v>
      </c>
      <c r="R19" s="48">
        <v>0</v>
      </c>
      <c r="S19" s="48">
        <f>5000-550</f>
        <v>4450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f>8520-1100</f>
        <v>7420</v>
      </c>
      <c r="Z19" s="48">
        <v>0</v>
      </c>
      <c r="AA19" s="48">
        <f>660</f>
        <v>660</v>
      </c>
      <c r="AB19" s="48">
        <f>2530+200</f>
        <v>2730</v>
      </c>
      <c r="AC19" s="48">
        <f>4232+2103</f>
        <v>6335</v>
      </c>
      <c r="AD19" s="48"/>
      <c r="AE19" s="48">
        <v>0</v>
      </c>
      <c r="AF19" s="48">
        <v>0</v>
      </c>
      <c r="AG19" s="48">
        <v>0</v>
      </c>
      <c r="AH19" s="48">
        <v>0</v>
      </c>
      <c r="AI19" s="48">
        <f>54977-110</f>
        <v>54867</v>
      </c>
      <c r="AJ19" s="48">
        <v>0</v>
      </c>
      <c r="AK19" s="48">
        <v>0</v>
      </c>
      <c r="AL19" s="48">
        <v>4275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/>
      <c r="AV19" s="48">
        <v>0</v>
      </c>
      <c r="AW19" s="48">
        <v>0</v>
      </c>
      <c r="AX19" s="48">
        <v>0</v>
      </c>
      <c r="AY19" s="48">
        <v>57000</v>
      </c>
      <c r="AZ19" s="48">
        <v>0</v>
      </c>
      <c r="BA19" s="38">
        <f t="shared" si="1"/>
        <v>240242</v>
      </c>
      <c r="BB19" s="42">
        <f>BA19</f>
        <v>240242</v>
      </c>
      <c r="BC19" s="16"/>
      <c r="BD19" s="48"/>
      <c r="BE19" s="48"/>
    </row>
    <row r="20" spans="1:57" ht="9.75">
      <c r="A20" s="34">
        <v>6000</v>
      </c>
      <c r="B20" s="46" t="s">
        <v>93</v>
      </c>
      <c r="C20" s="47">
        <f aca="true" t="shared" si="4" ref="C20:AV20">C21</f>
        <v>0</v>
      </c>
      <c r="D20" s="47">
        <f t="shared" si="4"/>
        <v>0</v>
      </c>
      <c r="E20" s="47">
        <f t="shared" si="4"/>
        <v>0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0</v>
      </c>
      <c r="L20" s="47">
        <f t="shared" si="4"/>
        <v>0</v>
      </c>
      <c r="M20" s="47">
        <f t="shared" si="4"/>
        <v>0</v>
      </c>
      <c r="N20" s="47">
        <f t="shared" si="4"/>
        <v>0</v>
      </c>
      <c r="O20" s="47">
        <f t="shared" si="4"/>
        <v>0</v>
      </c>
      <c r="P20" s="47">
        <f t="shared" si="4"/>
        <v>0</v>
      </c>
      <c r="Q20" s="47">
        <f>Q21</f>
        <v>0</v>
      </c>
      <c r="R20" s="47">
        <f>R21</f>
        <v>0</v>
      </c>
      <c r="S20" s="47">
        <f>S21</f>
        <v>0</v>
      </c>
      <c r="T20" s="47">
        <f>T21</f>
        <v>0</v>
      </c>
      <c r="U20" s="47">
        <f t="shared" si="4"/>
        <v>0</v>
      </c>
      <c r="V20" s="47">
        <f t="shared" si="4"/>
        <v>0</v>
      </c>
      <c r="W20" s="47">
        <f t="shared" si="4"/>
        <v>0</v>
      </c>
      <c r="X20" s="47">
        <f t="shared" si="4"/>
        <v>0</v>
      </c>
      <c r="Y20" s="47">
        <f t="shared" si="4"/>
        <v>0</v>
      </c>
      <c r="Z20" s="47">
        <f t="shared" si="4"/>
        <v>0</v>
      </c>
      <c r="AA20" s="47">
        <f t="shared" si="4"/>
        <v>0</v>
      </c>
      <c r="AB20" s="47">
        <f t="shared" si="4"/>
        <v>0</v>
      </c>
      <c r="AC20" s="47">
        <f t="shared" si="4"/>
        <v>0</v>
      </c>
      <c r="AD20" s="47">
        <f t="shared" si="4"/>
        <v>0</v>
      </c>
      <c r="AE20" s="47">
        <f t="shared" si="4"/>
        <v>0</v>
      </c>
      <c r="AF20" s="47">
        <f t="shared" si="4"/>
        <v>0</v>
      </c>
      <c r="AG20" s="47">
        <f t="shared" si="4"/>
        <v>0</v>
      </c>
      <c r="AH20" s="47">
        <f t="shared" si="4"/>
        <v>0</v>
      </c>
      <c r="AI20" s="47">
        <f t="shared" si="4"/>
        <v>0</v>
      </c>
      <c r="AJ20" s="47">
        <f t="shared" si="4"/>
        <v>0</v>
      </c>
      <c r="AK20" s="47">
        <f t="shared" si="4"/>
        <v>0</v>
      </c>
      <c r="AL20" s="47">
        <f t="shared" si="4"/>
        <v>0</v>
      </c>
      <c r="AM20" s="47">
        <f t="shared" si="4"/>
        <v>0</v>
      </c>
      <c r="AN20" s="47">
        <f>AN21</f>
        <v>0</v>
      </c>
      <c r="AO20" s="47">
        <f t="shared" si="4"/>
        <v>151</v>
      </c>
      <c r="AP20" s="47">
        <f t="shared" si="4"/>
        <v>0</v>
      </c>
      <c r="AQ20" s="47">
        <f t="shared" si="4"/>
        <v>0</v>
      </c>
      <c r="AR20" s="47">
        <f t="shared" si="4"/>
        <v>0</v>
      </c>
      <c r="AS20" s="47">
        <f t="shared" si="4"/>
        <v>0</v>
      </c>
      <c r="AT20" s="47">
        <f t="shared" si="4"/>
        <v>0</v>
      </c>
      <c r="AU20" s="47">
        <f t="shared" si="4"/>
        <v>0</v>
      </c>
      <c r="AV20" s="47">
        <f t="shared" si="4"/>
        <v>0</v>
      </c>
      <c r="AW20" s="47">
        <f>AW21+AW22</f>
        <v>0</v>
      </c>
      <c r="AX20" s="38">
        <f>AX21+AX22+AX23</f>
        <v>59647</v>
      </c>
      <c r="AY20" s="47">
        <f>AY21+AY22</f>
        <v>0</v>
      </c>
      <c r="AZ20" s="47">
        <f>AZ21</f>
        <v>0</v>
      </c>
      <c r="BA20" s="38">
        <f t="shared" si="1"/>
        <v>59798</v>
      </c>
      <c r="BB20" s="47">
        <f>BB21+BB22+BB23</f>
        <v>60603</v>
      </c>
      <c r="BC20" s="42"/>
      <c r="BD20" s="47"/>
      <c r="BE20" s="47"/>
    </row>
    <row r="21" spans="1:57" ht="9.75">
      <c r="A21" s="19">
        <v>6200</v>
      </c>
      <c r="B21" s="54" t="s">
        <v>94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/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f>'[1]Izdevumi'!AM107</f>
        <v>151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/>
      <c r="AV21" s="55">
        <v>0</v>
      </c>
      <c r="AW21" s="55">
        <v>0</v>
      </c>
      <c r="AX21" s="55">
        <f>'[1]Izdevumi'!AT107</f>
        <v>29427</v>
      </c>
      <c r="AY21" s="55">
        <v>0</v>
      </c>
      <c r="AZ21" s="55">
        <v>0</v>
      </c>
      <c r="BA21" s="38">
        <f t="shared" si="1"/>
        <v>29578</v>
      </c>
      <c r="BB21" s="42">
        <f>BA21</f>
        <v>29578</v>
      </c>
      <c r="BC21" s="42"/>
      <c r="BD21" s="55"/>
      <c r="BE21" s="55"/>
    </row>
    <row r="22" spans="1:57" ht="9.75">
      <c r="A22" s="19">
        <v>6300</v>
      </c>
      <c r="B22" s="43" t="s">
        <v>56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/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/>
      <c r="AV22" s="56">
        <v>0</v>
      </c>
      <c r="AW22" s="56">
        <v>0</v>
      </c>
      <c r="AX22" s="56">
        <f>'[1]Izdevumi'!AT117</f>
        <v>11800</v>
      </c>
      <c r="AY22" s="56">
        <v>0</v>
      </c>
      <c r="AZ22" s="56">
        <v>0</v>
      </c>
      <c r="BA22" s="38">
        <f t="shared" si="1"/>
        <v>11800</v>
      </c>
      <c r="BB22" s="42">
        <f>BA22</f>
        <v>11800</v>
      </c>
      <c r="BC22" s="42"/>
      <c r="BD22" s="56"/>
      <c r="BE22" s="56"/>
    </row>
    <row r="23" spans="1:57" ht="36.75">
      <c r="A23" s="57">
        <v>6400</v>
      </c>
      <c r="B23" s="58" t="s">
        <v>95</v>
      </c>
      <c r="C23" s="58">
        <f>700-155</f>
        <v>545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260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9">
        <v>0</v>
      </c>
      <c r="AQ23" s="59">
        <v>0</v>
      </c>
      <c r="AR23" s="59">
        <v>0</v>
      </c>
      <c r="AS23" s="58">
        <v>0</v>
      </c>
      <c r="AT23" s="58">
        <v>0</v>
      </c>
      <c r="AU23" s="58"/>
      <c r="AV23" s="58">
        <v>0</v>
      </c>
      <c r="AW23" s="58">
        <v>0</v>
      </c>
      <c r="AX23" s="58">
        <f>'[1]Izdevumi'!AT124</f>
        <v>18420</v>
      </c>
      <c r="AY23" s="58">
        <v>0</v>
      </c>
      <c r="AZ23" s="58">
        <v>0</v>
      </c>
      <c r="BA23" s="38">
        <f t="shared" si="1"/>
        <v>19225</v>
      </c>
      <c r="BB23" s="16">
        <f>BA23</f>
        <v>19225</v>
      </c>
      <c r="BC23" s="42"/>
      <c r="BD23" s="58"/>
      <c r="BE23" s="58"/>
    </row>
    <row r="24" spans="1:57" ht="18.75">
      <c r="A24" s="60">
        <v>7000</v>
      </c>
      <c r="B24" s="59" t="s">
        <v>96</v>
      </c>
      <c r="C24" s="61"/>
      <c r="D24" s="42"/>
      <c r="E24" s="42">
        <v>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19"/>
      <c r="AR24" s="19"/>
      <c r="AS24" s="42"/>
      <c r="AT24" s="42"/>
      <c r="AU24" s="42"/>
      <c r="AV24" s="42"/>
      <c r="AW24" s="42"/>
      <c r="AX24" s="42"/>
      <c r="AY24" s="42"/>
      <c r="AZ24" s="42"/>
      <c r="BA24" s="38">
        <f t="shared" si="1"/>
        <v>0</v>
      </c>
      <c r="BB24" s="42">
        <f>BA24</f>
        <v>0</v>
      </c>
      <c r="BC24" s="42"/>
      <c r="BD24" s="42">
        <f>'[1]Izdevumi'!AZ132</f>
        <v>40004</v>
      </c>
      <c r="BE24" s="42"/>
    </row>
    <row r="25" spans="1:57" ht="9.75">
      <c r="A25" s="19"/>
      <c r="B25" s="16" t="s">
        <v>123</v>
      </c>
      <c r="C25" s="45">
        <f>C6+C9+C16+C17+C20+C23+C24</f>
        <v>159050</v>
      </c>
      <c r="D25" s="45">
        <f aca="true" t="shared" si="5" ref="D25:AZ25">D6+D9+D16+D17+D20+D23+D24</f>
        <v>152</v>
      </c>
      <c r="E25" s="45">
        <f t="shared" si="5"/>
        <v>0</v>
      </c>
      <c r="F25" s="45">
        <f t="shared" si="5"/>
        <v>6115</v>
      </c>
      <c r="G25" s="45">
        <f t="shared" si="5"/>
        <v>5200</v>
      </c>
      <c r="H25" s="45">
        <f t="shared" si="5"/>
        <v>0</v>
      </c>
      <c r="I25" s="45">
        <f t="shared" si="5"/>
        <v>464</v>
      </c>
      <c r="J25" s="45">
        <f t="shared" si="5"/>
        <v>58816</v>
      </c>
      <c r="K25" s="45">
        <f t="shared" si="5"/>
        <v>68327</v>
      </c>
      <c r="L25" s="45">
        <f t="shared" si="5"/>
        <v>35867</v>
      </c>
      <c r="M25" s="45">
        <f t="shared" si="5"/>
        <v>8300</v>
      </c>
      <c r="N25" s="45">
        <f t="shared" si="5"/>
        <v>40907</v>
      </c>
      <c r="O25" s="45">
        <f t="shared" si="5"/>
        <v>7099</v>
      </c>
      <c r="P25" s="45">
        <f t="shared" si="5"/>
        <v>42330</v>
      </c>
      <c r="Q25" s="45">
        <f t="shared" si="5"/>
        <v>41613</v>
      </c>
      <c r="R25" s="45">
        <f t="shared" si="5"/>
        <v>6225</v>
      </c>
      <c r="S25" s="45">
        <f t="shared" si="5"/>
        <v>6900</v>
      </c>
      <c r="T25" s="45">
        <f t="shared" si="5"/>
        <v>0</v>
      </c>
      <c r="U25" s="45">
        <f t="shared" si="5"/>
        <v>129795</v>
      </c>
      <c r="V25" s="45">
        <f t="shared" si="5"/>
        <v>16088</v>
      </c>
      <c r="W25" s="45">
        <f t="shared" si="5"/>
        <v>1494</v>
      </c>
      <c r="X25" s="45">
        <f t="shared" si="5"/>
        <v>8233</v>
      </c>
      <c r="Y25" s="45">
        <f t="shared" si="5"/>
        <v>147235</v>
      </c>
      <c r="Z25" s="45">
        <f t="shared" si="5"/>
        <v>0</v>
      </c>
      <c r="AA25" s="45">
        <f t="shared" si="5"/>
        <v>7072</v>
      </c>
      <c r="AB25" s="45">
        <f t="shared" si="5"/>
        <v>31054</v>
      </c>
      <c r="AC25" s="45">
        <f t="shared" si="5"/>
        <v>152575</v>
      </c>
      <c r="AD25" s="45">
        <f t="shared" si="5"/>
        <v>6315</v>
      </c>
      <c r="AE25" s="45">
        <f t="shared" si="5"/>
        <v>1789</v>
      </c>
      <c r="AF25" s="45">
        <f t="shared" si="5"/>
        <v>45995</v>
      </c>
      <c r="AG25" s="45">
        <f t="shared" si="5"/>
        <v>324489</v>
      </c>
      <c r="AH25" s="45">
        <f t="shared" si="5"/>
        <v>371078</v>
      </c>
      <c r="AI25" s="45">
        <f t="shared" si="5"/>
        <v>302631</v>
      </c>
      <c r="AJ25" s="45">
        <f t="shared" si="5"/>
        <v>34098</v>
      </c>
      <c r="AK25" s="45">
        <f t="shared" si="5"/>
        <v>72863</v>
      </c>
      <c r="AL25" s="45">
        <f t="shared" si="5"/>
        <v>135453</v>
      </c>
      <c r="AM25" s="45">
        <f t="shared" si="5"/>
        <v>18180</v>
      </c>
      <c r="AN25" s="45">
        <f t="shared" si="5"/>
        <v>71839</v>
      </c>
      <c r="AO25" s="45">
        <f t="shared" si="5"/>
        <v>2916</v>
      </c>
      <c r="AP25" s="45">
        <f t="shared" si="5"/>
        <v>3181</v>
      </c>
      <c r="AQ25" s="45">
        <f t="shared" si="5"/>
        <v>9018</v>
      </c>
      <c r="AR25" s="45">
        <f t="shared" si="5"/>
        <v>2645</v>
      </c>
      <c r="AS25" s="45">
        <f t="shared" si="5"/>
        <v>13550</v>
      </c>
      <c r="AT25" s="45">
        <f t="shared" si="5"/>
        <v>4498</v>
      </c>
      <c r="AU25" s="45">
        <f t="shared" si="5"/>
        <v>198</v>
      </c>
      <c r="AV25" s="45">
        <f t="shared" si="5"/>
        <v>0</v>
      </c>
      <c r="AW25" s="45">
        <f t="shared" si="5"/>
        <v>2183</v>
      </c>
      <c r="AX25" s="45">
        <f>AX6+AX9+AX16+AX17+AX20+AX24</f>
        <v>59647</v>
      </c>
      <c r="AY25" s="45">
        <f t="shared" si="5"/>
        <v>618113</v>
      </c>
      <c r="AZ25" s="45">
        <f t="shared" si="5"/>
        <v>3733</v>
      </c>
      <c r="BA25" s="38">
        <f t="shared" si="1"/>
        <v>3085323</v>
      </c>
      <c r="BB25" s="62">
        <f>BB6+BB9+BB16+BB17+BB20+BB24</f>
        <v>3081167</v>
      </c>
      <c r="BC25" s="42">
        <f>BC12</f>
        <v>4156</v>
      </c>
      <c r="BD25" s="45">
        <f>BD24</f>
        <v>40004</v>
      </c>
      <c r="BE25" s="45">
        <f>BE24</f>
        <v>0</v>
      </c>
    </row>
    <row r="26" spans="1:57" ht="18.75">
      <c r="A26" s="63"/>
      <c r="B26" s="64" t="s">
        <v>124</v>
      </c>
      <c r="C26" s="62">
        <f aca="true" t="shared" si="6" ref="C26:X26">C25-C12</f>
        <v>159050</v>
      </c>
      <c r="D26" s="62">
        <f t="shared" si="6"/>
        <v>152</v>
      </c>
      <c r="E26" s="62">
        <f t="shared" si="6"/>
        <v>0</v>
      </c>
      <c r="F26" s="62">
        <f t="shared" si="6"/>
        <v>6115</v>
      </c>
      <c r="G26" s="62">
        <f t="shared" si="6"/>
        <v>5200</v>
      </c>
      <c r="H26" s="62">
        <f t="shared" si="6"/>
        <v>0</v>
      </c>
      <c r="I26" s="62">
        <f t="shared" si="6"/>
        <v>464</v>
      </c>
      <c r="J26" s="62">
        <f t="shared" si="6"/>
        <v>58816</v>
      </c>
      <c r="K26" s="62">
        <f t="shared" si="6"/>
        <v>68327</v>
      </c>
      <c r="L26" s="62">
        <f t="shared" si="6"/>
        <v>35867</v>
      </c>
      <c r="M26" s="62">
        <f t="shared" si="6"/>
        <v>8300</v>
      </c>
      <c r="N26" s="62">
        <f t="shared" si="6"/>
        <v>40907</v>
      </c>
      <c r="O26" s="62">
        <f t="shared" si="6"/>
        <v>7099</v>
      </c>
      <c r="P26" s="62">
        <f t="shared" si="6"/>
        <v>42330</v>
      </c>
      <c r="Q26" s="62">
        <f t="shared" si="6"/>
        <v>41613</v>
      </c>
      <c r="R26" s="62">
        <f t="shared" si="6"/>
        <v>6225</v>
      </c>
      <c r="S26" s="62">
        <f t="shared" si="6"/>
        <v>6900</v>
      </c>
      <c r="T26" s="62">
        <f t="shared" si="6"/>
        <v>0</v>
      </c>
      <c r="U26" s="62">
        <f t="shared" si="6"/>
        <v>129795</v>
      </c>
      <c r="V26" s="62">
        <f t="shared" si="6"/>
        <v>16088</v>
      </c>
      <c r="W26" s="62">
        <f t="shared" si="6"/>
        <v>1494</v>
      </c>
      <c r="X26" s="62">
        <f t="shared" si="6"/>
        <v>8233</v>
      </c>
      <c r="Y26" s="62">
        <f>Y25-Y12</f>
        <v>146333</v>
      </c>
      <c r="Z26" s="62">
        <f>Z25-Z12</f>
        <v>0</v>
      </c>
      <c r="AA26" s="62">
        <f aca="true" t="shared" si="7" ref="AA26:AZ26">AA25-AA12</f>
        <v>7072</v>
      </c>
      <c r="AB26" s="62">
        <f t="shared" si="7"/>
        <v>31054</v>
      </c>
      <c r="AC26" s="62">
        <f t="shared" si="7"/>
        <v>152421</v>
      </c>
      <c r="AD26" s="62">
        <f t="shared" si="7"/>
        <v>6315</v>
      </c>
      <c r="AE26" s="62">
        <f t="shared" si="7"/>
        <v>1789</v>
      </c>
      <c r="AF26" s="62">
        <f t="shared" si="7"/>
        <v>45995</v>
      </c>
      <c r="AG26" s="62">
        <f t="shared" si="7"/>
        <v>323289</v>
      </c>
      <c r="AH26" s="62">
        <f t="shared" si="7"/>
        <v>371078</v>
      </c>
      <c r="AI26" s="62">
        <f>AI25-AI12</f>
        <v>301131</v>
      </c>
      <c r="AJ26" s="62">
        <f t="shared" si="7"/>
        <v>34098</v>
      </c>
      <c r="AK26" s="62">
        <f t="shared" si="7"/>
        <v>72863</v>
      </c>
      <c r="AL26" s="62">
        <f t="shared" si="7"/>
        <v>135053</v>
      </c>
      <c r="AM26" s="62">
        <f t="shared" si="7"/>
        <v>18180</v>
      </c>
      <c r="AN26" s="62">
        <f t="shared" si="7"/>
        <v>71839</v>
      </c>
      <c r="AO26" s="62">
        <f t="shared" si="7"/>
        <v>2916</v>
      </c>
      <c r="AP26" s="62">
        <f t="shared" si="7"/>
        <v>3181</v>
      </c>
      <c r="AQ26" s="62">
        <f t="shared" si="7"/>
        <v>9018</v>
      </c>
      <c r="AR26" s="62">
        <f t="shared" si="7"/>
        <v>2645</v>
      </c>
      <c r="AS26" s="62">
        <f t="shared" si="7"/>
        <v>13550</v>
      </c>
      <c r="AT26" s="62">
        <f t="shared" si="7"/>
        <v>4498</v>
      </c>
      <c r="AU26" s="62">
        <f t="shared" si="7"/>
        <v>198</v>
      </c>
      <c r="AV26" s="62">
        <f t="shared" si="7"/>
        <v>0</v>
      </c>
      <c r="AW26" s="62">
        <f t="shared" si="7"/>
        <v>2183</v>
      </c>
      <c r="AX26" s="62">
        <f t="shared" si="7"/>
        <v>59647</v>
      </c>
      <c r="AY26" s="62">
        <f t="shared" si="7"/>
        <v>618113</v>
      </c>
      <c r="AZ26" s="62">
        <f t="shared" si="7"/>
        <v>3733</v>
      </c>
      <c r="BA26" s="62">
        <f t="shared" si="1"/>
        <v>3081167</v>
      </c>
      <c r="BB26" s="65"/>
      <c r="BC26" s="11"/>
      <c r="BD26" s="62">
        <f>BD25-BD12</f>
        <v>40004</v>
      </c>
      <c r="BE26" s="62">
        <f>BE25-BE12</f>
        <v>0</v>
      </c>
    </row>
    <row r="27" spans="1:57" s="2" customFormat="1" ht="9.75">
      <c r="A27" s="66"/>
      <c r="B27" s="67"/>
      <c r="C27" s="68"/>
      <c r="D27" s="69"/>
      <c r="E27" s="69"/>
      <c r="F27" s="69"/>
      <c r="G27" s="69"/>
      <c r="H27" s="69"/>
      <c r="I27" s="69"/>
      <c r="J27" s="69"/>
      <c r="K27" s="70"/>
      <c r="L27" s="69"/>
      <c r="M27" s="70"/>
      <c r="N27" s="69"/>
      <c r="O27" s="70"/>
      <c r="P27" s="70"/>
      <c r="Q27" s="69"/>
      <c r="R27" s="69"/>
      <c r="S27" s="70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1"/>
      <c r="AR27" s="71"/>
      <c r="AS27" s="69"/>
      <c r="AT27" s="69"/>
      <c r="AU27" s="69"/>
      <c r="AV27" s="69"/>
      <c r="AW27" s="69"/>
      <c r="AX27" s="69"/>
      <c r="AY27" s="69"/>
      <c r="AZ27" s="69"/>
      <c r="BA27" s="72"/>
      <c r="BB27" s="73"/>
      <c r="BC27" s="73"/>
      <c r="BD27" s="69"/>
      <c r="BE27" s="69"/>
    </row>
    <row r="28" spans="1:57" s="2" customFormat="1" ht="10.5">
      <c r="A28" s="66"/>
      <c r="B28" s="7" t="s">
        <v>125</v>
      </c>
      <c r="C28" s="7"/>
      <c r="D28" s="7"/>
      <c r="E28" s="7"/>
      <c r="F28" s="7"/>
      <c r="G28" s="8"/>
      <c r="H28" s="8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72"/>
      <c r="BB28" s="73"/>
      <c r="BC28" s="73"/>
      <c r="BD28" s="10"/>
      <c r="BE28" s="10"/>
    </row>
    <row r="29" spans="1:57" ht="9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66"/>
      <c r="R29" s="66"/>
      <c r="S29" s="66"/>
      <c r="T29" s="66"/>
      <c r="U29" s="74"/>
      <c r="V29" s="74"/>
      <c r="W29" s="74"/>
      <c r="X29" s="74"/>
      <c r="Y29" s="75"/>
      <c r="Z29" s="75"/>
      <c r="AA29" s="75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65"/>
      <c r="BB29" s="66"/>
      <c r="BC29" s="69"/>
      <c r="BD29" s="11"/>
      <c r="BE29" s="11"/>
    </row>
    <row r="30" spans="17:53" ht="8.25">
      <c r="Q30" s="3"/>
      <c r="R30" s="3"/>
      <c r="S30" s="3"/>
      <c r="T30" s="3"/>
      <c r="U30" s="3"/>
      <c r="V30" s="3"/>
      <c r="W30" s="3"/>
      <c r="X30" s="3"/>
      <c r="Y30" s="4"/>
      <c r="Z30" s="4"/>
      <c r="AA30" s="4"/>
      <c r="BA30" s="5"/>
    </row>
    <row r="31" spans="17:53" ht="8.25">
      <c r="Q31" s="3"/>
      <c r="R31" s="3"/>
      <c r="S31" s="3"/>
      <c r="T31" s="3"/>
      <c r="U31" s="3"/>
      <c r="V31" s="3"/>
      <c r="W31" s="3"/>
      <c r="X31" s="3"/>
      <c r="Y31" s="4"/>
      <c r="Z31" s="4"/>
      <c r="AA31" s="4"/>
      <c r="BA31" s="5"/>
    </row>
    <row r="32" spans="17:53" ht="8.25">
      <c r="Q32" s="3"/>
      <c r="R32" s="3"/>
      <c r="S32" s="3"/>
      <c r="T32" s="3"/>
      <c r="U32" s="3"/>
      <c r="V32" s="3"/>
      <c r="W32" s="3"/>
      <c r="X32" s="3"/>
      <c r="Y32" s="4"/>
      <c r="Z32" s="4"/>
      <c r="AA32" s="4"/>
      <c r="BA32" s="5"/>
    </row>
    <row r="33" ht="8.25">
      <c r="BA33" s="6"/>
    </row>
    <row r="34" ht="8.25">
      <c r="BA34" s="5"/>
    </row>
    <row r="35" ht="8.25">
      <c r="BA35" s="2"/>
    </row>
  </sheetData>
  <sheetProtection/>
  <mergeCells count="9">
    <mergeCell ref="AA3:AC3"/>
    <mergeCell ref="AF3:AL3"/>
    <mergeCell ref="BD3:BE3"/>
    <mergeCell ref="A3:A4"/>
    <mergeCell ref="B3:B4"/>
    <mergeCell ref="D3:F3"/>
    <mergeCell ref="H3:J3"/>
    <mergeCell ref="L3:N3"/>
    <mergeCell ref="Q3:Z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</dc:creator>
  <cp:keywords/>
  <dc:description/>
  <cp:lastModifiedBy>Maija Ozola</cp:lastModifiedBy>
  <cp:lastPrinted>2020-10-16T09:59:27Z</cp:lastPrinted>
  <dcterms:created xsi:type="dcterms:W3CDTF">2019-09-04T10:41:12Z</dcterms:created>
  <dcterms:modified xsi:type="dcterms:W3CDTF">2020-10-20T12:57:15Z</dcterms:modified>
  <cp:category/>
  <cp:version/>
  <cp:contentType/>
  <cp:contentStatus/>
</cp:coreProperties>
</file>