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7965" tabRatio="901" firstSheet="6" activeTab="18"/>
  </bookViews>
  <sheets>
    <sheet name="PII" sheetId="1" r:id="rId1"/>
    <sheet name="Skolas" sheetId="2" r:id="rId2"/>
    <sheet name="Māksl." sheetId="3" r:id="rId3"/>
    <sheet name="Sp.centrs" sheetId="4" r:id="rId4"/>
    <sheet name="Kult.iest." sheetId="5" r:id="rId5"/>
    <sheet name="Kultūras aktivit." sheetId="6" r:id="rId6"/>
    <sheet name="Polic." sheetId="7" r:id="rId7"/>
    <sheet name="Soc.apr." sheetId="8" r:id="rId8"/>
    <sheet name="Pašv. proj. " sheetId="9" r:id="rId9"/>
    <sheet name="ES proj." sheetId="10" r:id="rId10"/>
    <sheet name="Izglīt. un soc. proj." sheetId="11" r:id="rId11"/>
    <sheet name="Izpildvara" sheetId="12" r:id="rId12"/>
    <sheet name="Būvvalde" sheetId="13" r:id="rId13"/>
    <sheet name="Tautsaimn." sheetId="14" r:id="rId14"/>
    <sheet name="Fin. PA Ogres komunik." sheetId="15" r:id="rId15"/>
    <sheet name="Fin. SIA Ogres namsaimn." sheetId="16" r:id="rId16"/>
    <sheet name="Tauts.atšifr." sheetId="17" r:id="rId17"/>
    <sheet name="SP.komandu atb." sheetId="18" r:id="rId18"/>
    <sheet name="Pārējās dažādas funkc." sheetId="19" r:id="rId19"/>
    <sheet name="Sheet2" sheetId="20" state="hidden" r:id="rId20"/>
  </sheets>
  <definedNames/>
  <calcPr fullCalcOnLoad="1"/>
</workbook>
</file>

<file path=xl/sharedStrings.xml><?xml version="1.0" encoding="utf-8"?>
<sst xmlns="http://schemas.openxmlformats.org/spreadsheetml/2006/main" count="1197" uniqueCount="613">
  <si>
    <t>PAMATBUDŽETS</t>
  </si>
  <si>
    <t>Cīrulītis</t>
  </si>
  <si>
    <t>Dzīpariņš</t>
  </si>
  <si>
    <t>Zelta sietiņš</t>
  </si>
  <si>
    <t>Saulīte</t>
  </si>
  <si>
    <t>Ābelīte</t>
  </si>
  <si>
    <t>Strautiņš</t>
  </si>
  <si>
    <t>Kods</t>
  </si>
  <si>
    <t>Ieņēmumi</t>
  </si>
  <si>
    <t>Ārvalstu finanšu palīdzība</t>
  </si>
  <si>
    <t>Izdevumi</t>
  </si>
  <si>
    <t>Darba samaksa</t>
  </si>
  <si>
    <t>Darba devēja valsts sociālās apdrošināšanas obligātās iemaksas, sociālā rakstura pabalsti un kompensācija</t>
  </si>
  <si>
    <t>Preces un pakalpojumi</t>
  </si>
  <si>
    <t>Komandējumi un dienesta braucieni</t>
  </si>
  <si>
    <t>Pakalpojumi</t>
  </si>
  <si>
    <t>Krājumi,materiāli,energoresursi,prece,biroja preces un inventārs, ko neuzskaita  5000. kodā</t>
  </si>
  <si>
    <t>Budžeta iestāžu nodokļu maksājumi</t>
  </si>
  <si>
    <t>Subsīdijas komersantiem, sabiedriskajām org. un citām institūcijām</t>
  </si>
  <si>
    <t>Procentu maksājumi iekšzemes kredītiestādēm</t>
  </si>
  <si>
    <t xml:space="preserve">Pārējie procentu maksājumi </t>
  </si>
  <si>
    <t>Pašvaldību bužetu procentu maksājumi Valsts Kasei</t>
  </si>
  <si>
    <t>Nemateriālie ieguldījumi</t>
  </si>
  <si>
    <t>Pamatlīdzekļi</t>
  </si>
  <si>
    <t xml:space="preserve">Sociālie pabalsti naudā </t>
  </si>
  <si>
    <t>Pašvaldību budžeta kārtējo izdevumu transferti</t>
  </si>
  <si>
    <t xml:space="preserve"> IZDEVUMI KOPĀ</t>
  </si>
  <si>
    <t>Ogres 1.vidussk.</t>
  </si>
  <si>
    <t>Ogresgala pamatsk.</t>
  </si>
  <si>
    <t>Pasākums</t>
  </si>
  <si>
    <t>Kopā:</t>
  </si>
  <si>
    <t>Elektrības patēriņam</t>
  </si>
  <si>
    <t>Mākslas skola</t>
  </si>
  <si>
    <t>Mūzikas skola</t>
  </si>
  <si>
    <t>Sporta centrs</t>
  </si>
  <si>
    <t>Basketbol skola</t>
  </si>
  <si>
    <t>Kopā</t>
  </si>
  <si>
    <t>Bibliotēka</t>
  </si>
  <si>
    <t>Pašvaldības policija</t>
  </si>
  <si>
    <t>Soc. dienests</t>
  </si>
  <si>
    <t>Soc. pabalsti</t>
  </si>
  <si>
    <t>Ieņēmumi - KOPĀ</t>
  </si>
  <si>
    <t>Dotācija no VB</t>
  </si>
  <si>
    <t>S.Velberga</t>
  </si>
  <si>
    <t>Dzīvnieku patversmes uzturēšana</t>
  </si>
  <si>
    <t>Izd.nepar. gadījum.</t>
  </si>
  <si>
    <t>01.720</t>
  </si>
  <si>
    <t>Parādu darījumi</t>
  </si>
  <si>
    <t xml:space="preserve">   Izdevuma pozīcijas nosaukums             </t>
  </si>
  <si>
    <t>Pārvietojamo tualešu uzturēšana</t>
  </si>
  <si>
    <t>Mērķdotācijas</t>
  </si>
  <si>
    <t xml:space="preserve">Ogres novada pašvaldības sabiedriskās kārtības un drošības izdevumu tāme pēc </t>
  </si>
  <si>
    <t xml:space="preserve">Ogres novada pašvaldības sociālās aizsardzības izdevumu tāmes pēc </t>
  </si>
  <si>
    <t xml:space="preserve">KOPĀ </t>
  </si>
  <si>
    <t>Izpildvara</t>
  </si>
  <si>
    <t xml:space="preserve">Ogres novada pašvaldības vispārējo valdības dienestu izdevumu tāme pēc </t>
  </si>
  <si>
    <t>Struktūrvienības klasifikācijas kods 01.000</t>
  </si>
  <si>
    <t>09.211</t>
  </si>
  <si>
    <t>Ogres novada Sporta attīstības komisija</t>
  </si>
  <si>
    <t>frisbijs</t>
  </si>
  <si>
    <t xml:space="preserve">Sociālie pabalsti </t>
  </si>
  <si>
    <t>Sociālie pabalsti natūrā</t>
  </si>
  <si>
    <t>Izdevumi periodikas iegādie</t>
  </si>
  <si>
    <t>Izdevumi periodikas iegādei</t>
  </si>
  <si>
    <t>Mērķdotācijas 5-6 gadīgo apmācībai</t>
  </si>
  <si>
    <t>Mērķdotācijas interešu izgl.</t>
  </si>
  <si>
    <t>Būvvalde</t>
  </si>
  <si>
    <t>Dotācija pedagogiem</t>
  </si>
  <si>
    <t>hokejs</t>
  </si>
  <si>
    <t>Saņemtie projektu līdzekļi</t>
  </si>
  <si>
    <t>Video novēroš.</t>
  </si>
  <si>
    <t>handbols</t>
  </si>
  <si>
    <t>novuss</t>
  </si>
  <si>
    <t>Atbalsts bezdarba gadījumā</t>
  </si>
  <si>
    <t>Sporta pasākumi</t>
  </si>
  <si>
    <t>Riekstiņš</t>
  </si>
  <si>
    <t>florbols</t>
  </si>
  <si>
    <t>Pārējie maksājumi iedzīvotājiem natūrā un kompensācijas</t>
  </si>
  <si>
    <t>Ogres sākumsk.</t>
  </si>
  <si>
    <t>Aprūpes pakalpojumi</t>
  </si>
  <si>
    <t>08.1001</t>
  </si>
  <si>
    <t>08.2202</t>
  </si>
  <si>
    <t>08.29002</t>
  </si>
  <si>
    <t>10.70001</t>
  </si>
  <si>
    <t>10.70002</t>
  </si>
  <si>
    <t>08.210</t>
  </si>
  <si>
    <t>09.21901</t>
  </si>
  <si>
    <t>09.21902</t>
  </si>
  <si>
    <t>09.21903</t>
  </si>
  <si>
    <t>09.21904</t>
  </si>
  <si>
    <t>09.10002</t>
  </si>
  <si>
    <t>09.10003</t>
  </si>
  <si>
    <t>09.10004</t>
  </si>
  <si>
    <t>09.10005</t>
  </si>
  <si>
    <t>09.10006</t>
  </si>
  <si>
    <t>09.10007</t>
  </si>
  <si>
    <t>09.10008</t>
  </si>
  <si>
    <t>09.5101</t>
  </si>
  <si>
    <t>09.5102</t>
  </si>
  <si>
    <t>09.5103</t>
  </si>
  <si>
    <t>09.5104</t>
  </si>
  <si>
    <t>06.60006</t>
  </si>
  <si>
    <t>06.60009</t>
  </si>
  <si>
    <t>Dotāc. Komers.,biedrībām un nodibinājumiem</t>
  </si>
  <si>
    <t>BK Ogre</t>
  </si>
  <si>
    <t>vieglatlētika</t>
  </si>
  <si>
    <t>dažādi</t>
  </si>
  <si>
    <t>Raivo Kivlenieks</t>
  </si>
  <si>
    <t>Andris Kivlenieks</t>
  </si>
  <si>
    <t>airēšana</t>
  </si>
  <si>
    <t>daiļslidošana</t>
  </si>
  <si>
    <t>Ogres Valsts ģimnāzija</t>
  </si>
  <si>
    <t xml:space="preserve">Struktūrvienības klasifikācijas kods  09.100  </t>
  </si>
  <si>
    <t>Strūklakas uzturēšana</t>
  </si>
  <si>
    <t>sporta veids</t>
  </si>
  <si>
    <t>orientēšanās</t>
  </si>
  <si>
    <t>biedrība ''MNK'', ''Vilnis''</t>
  </si>
  <si>
    <t>basketbols</t>
  </si>
  <si>
    <t>biedrība ''Ogres vilki''</t>
  </si>
  <si>
    <t>autokross</t>
  </si>
  <si>
    <t xml:space="preserve">Ogres novada pašvaldības PII iestāžu izdevumu tāmes pēc </t>
  </si>
  <si>
    <t xml:space="preserve">Ogres novada pašvaldības vidusskolu un pamatskolu izdevumu tāme pēc </t>
  </si>
  <si>
    <t xml:space="preserve">Ogres novada pašvaldības Interešu un profesionālās ievirzes izglītības iestāžu izdevumu tāme pēc </t>
  </si>
  <si>
    <t xml:space="preserve">Struktūrvienības klasifikācijas kods </t>
  </si>
  <si>
    <t xml:space="preserve">Ogres novada pašvaldības kultūras iestāžu izdevumu tāme pēc </t>
  </si>
  <si>
    <t>Civilās drošības dien.</t>
  </si>
  <si>
    <t>Pašvaldību budžetu kapitālo izdevumu transfertus uz valsts budžetu</t>
  </si>
  <si>
    <t>Ogres un Ogresgala bāriņtiesa</t>
  </si>
  <si>
    <t>Koplietošanas telpu elektropatēriņa izmaksas soc.mājās</t>
  </si>
  <si>
    <t>Andris Sarksņa</t>
  </si>
  <si>
    <t>Izmaksas (EUR)</t>
  </si>
  <si>
    <t>( EUR)</t>
  </si>
  <si>
    <t>iedalīts sabiedr.organizācijām</t>
  </si>
  <si>
    <t>Informatīvi pasākumi uzņēmējiem</t>
  </si>
  <si>
    <t>Starptautiskā sadarbība</t>
  </si>
  <si>
    <t>Pašvaldību kapitālo izdevumu transferti uz valsts budžetu</t>
  </si>
  <si>
    <t xml:space="preserve">Dalība LR čempionātā, kausā </t>
  </si>
  <si>
    <t>biedrība ''Ogres Frisbija klubs''</t>
  </si>
  <si>
    <t>biedrība ''OK Ogre''</t>
  </si>
  <si>
    <t>biedrība ''Vilnis''</t>
  </si>
  <si>
    <t>biedrība ''Ogres Juniors''</t>
  </si>
  <si>
    <t>biedrība ''Slidotprieks''</t>
  </si>
  <si>
    <t>HK Ogre</t>
  </si>
  <si>
    <t>skriešanas komanda</t>
  </si>
  <si>
    <t>biedrība ''Karatē sen-e''</t>
  </si>
  <si>
    <t>karatē</t>
  </si>
  <si>
    <t>biedrība ''Ogres FK''</t>
  </si>
  <si>
    <t>Ogres novada izlases</t>
  </si>
  <si>
    <t>Ogres sporta senioru izlases</t>
  </si>
  <si>
    <t>Izlašu dalībnieki, iesniegumi</t>
  </si>
  <si>
    <t>Dalības LV izlases sastāvā</t>
  </si>
  <si>
    <t>Mājas lapa, foto, raksti</t>
  </si>
  <si>
    <t>biedrība ''Osports''</t>
  </si>
  <si>
    <t>mājas lapa</t>
  </si>
  <si>
    <t>06.6002 Plānotais budžets siltumapgādei.</t>
  </si>
  <si>
    <t>Nekustamā īpašuma Rietumu ielā 1 iegādei</t>
  </si>
  <si>
    <t>Kompensācijas, kuras izmaksā personām, pamatojoties uz tiesas nolēmumiem</t>
  </si>
  <si>
    <t>Budžeta nod. vadītāja:</t>
  </si>
  <si>
    <t xml:space="preserve">Kopā Invalību biedrībai </t>
  </si>
  <si>
    <t>Vēstures, mākslas muzejs</t>
  </si>
  <si>
    <t>Pilsētas dekorēš. svētkiem</t>
  </si>
  <si>
    <t>Informat. izdevumi</t>
  </si>
  <si>
    <t>Jaunogres vidussk.</t>
  </si>
  <si>
    <t>Budžeta nodaļas vadītāja:</t>
  </si>
  <si>
    <t>IZPILDE 2015.GADS</t>
  </si>
  <si>
    <t>biedrība ''sporta klubs ''Ogre''</t>
  </si>
  <si>
    <t xml:space="preserve">frisbijs </t>
  </si>
  <si>
    <t>OK Ogre</t>
  </si>
  <si>
    <t>Nr.</t>
  </si>
  <si>
    <t>Funkcijas nosaukums</t>
  </si>
  <si>
    <t xml:space="preserve">Pilsētas teritoriju sanitārā apkope </t>
  </si>
  <si>
    <t>Autobusu pieturu un soliņu remonti</t>
  </si>
  <si>
    <t>Koku un krūmu kopšana, zāģēšana, izciršana, izvešana</t>
  </si>
  <si>
    <t>Bērnu rotaļu laukumu labiekārtošana, aprīkojuma apkope</t>
  </si>
  <si>
    <t>Labiekārtošanas darbi  Ogresgala pagastā - pļaušana, apstādījumu kopšana</t>
  </si>
  <si>
    <t>Pilsētas apzaļumošana</t>
  </si>
  <si>
    <t>Sociālo funkciju realizācijai soc.mājās</t>
  </si>
  <si>
    <t>Sociālo māju remontdarbi</t>
  </si>
  <si>
    <t>Pašvaldības dzīvokļu remonts</t>
  </si>
  <si>
    <t>Pilsētas lietus kanalizācijas ekspluatācija un remonts</t>
  </si>
  <si>
    <t>Polderu sūknētavas ekspluatācija</t>
  </si>
  <si>
    <t>Peldošas platformas un konstruktīvo materiālu uzstādīšana un demontāža Krasta ielas promenādē</t>
  </si>
  <si>
    <t>Ielu apgaismojuma izmaksas Indrānu ielā</t>
  </si>
  <si>
    <t>Pārsūknēšanas stacijas Ogre-3 elektroenerģijas izmaksas</t>
  </si>
  <si>
    <t>Apkure un īre pašvaldības tukšajos dzīvokļos</t>
  </si>
  <si>
    <t>Ceļazīmju, ielu nosaukumu zīmju un aizsargbarjeru uzstādīšana un uzturēšana</t>
  </si>
  <si>
    <t>Pārņemto domes komunālās nodaļas funkciju realizācija</t>
  </si>
  <si>
    <t>Kapu uzturēšana</t>
  </si>
  <si>
    <t>Finansējums skolām un pašvaldības iestādēm par baseinu</t>
  </si>
  <si>
    <t>Finansējums atlaidēm par baseinu un sporta klubam Ogre</t>
  </si>
  <si>
    <t>Finansējums Meža 9 uzturēšanai</t>
  </si>
  <si>
    <t>Finasējums  remontam</t>
  </si>
  <si>
    <t>05.1007</t>
  </si>
  <si>
    <t>Koncesija atkritumu apsaimniekošana</t>
  </si>
  <si>
    <t>04.51007</t>
  </si>
  <si>
    <t>09.82030</t>
  </si>
  <si>
    <t xml:space="preserve">Ogres novada pašvaldības Interešu un profesionālās ievirzes izglītības iestāžu izdevumu </t>
  </si>
  <si>
    <r>
      <t xml:space="preserve">Struktūrvienības klasifikācijas kods </t>
    </r>
  </si>
  <si>
    <t>10.70015</t>
  </si>
  <si>
    <t>04.11101 Uzņēmējdarbības  attīstības veicināšanai</t>
  </si>
  <si>
    <t>Skolēnu vasaras darbs</t>
  </si>
  <si>
    <t>Elektro pieslēgumu ierīkošanai</t>
  </si>
  <si>
    <t>08.29001</t>
  </si>
  <si>
    <t>Kultūras aktivitātes</t>
  </si>
  <si>
    <t>Kultūras aktivitātes   08.29001</t>
  </si>
  <si>
    <t>Aktivitāte</t>
  </si>
  <si>
    <t>Summa (EUR)</t>
  </si>
  <si>
    <t>EKK</t>
  </si>
  <si>
    <t>Sabiedrisko organizāciju pasākumu organizēšanai</t>
  </si>
  <si>
    <t>Ziemassvētku paciņas sabiedriskajām organizācijām</t>
  </si>
  <si>
    <t xml:space="preserve">Pārējo kultūras pasākumu atbalstam </t>
  </si>
  <si>
    <t>10.70003</t>
  </si>
  <si>
    <t>Soc. dienesta asistentu pakalpojumi</t>
  </si>
  <si>
    <t>Savst. norēķ. izgl.</t>
  </si>
  <si>
    <t>Savst. norēķ.soc.apr.</t>
  </si>
  <si>
    <t>Nakts patversmes uzturēšana Mālkalnes pr.30</t>
  </si>
  <si>
    <t>PAVISAM KOPĀ</t>
  </si>
  <si>
    <t>KOPĀ</t>
  </si>
  <si>
    <t>biedrība ''Skrējējs'' /skrējēju komandai transports</t>
  </si>
  <si>
    <t>Ogres ziņas</t>
  </si>
  <si>
    <t>foto, raksti</t>
  </si>
  <si>
    <t xml:space="preserve">                                              Līdzekļu atlikums uz gada sākumu</t>
  </si>
  <si>
    <t>Dotācija no visp. ieņēm.(pašv.līdzf.)</t>
  </si>
  <si>
    <t xml:space="preserve">                                                                                                        Līdzekļi pavisam ar  atlikumu</t>
  </si>
  <si>
    <t>Grāmatas un periodiskie izdevumi</t>
  </si>
  <si>
    <t>Dotācijas biedrībām un nodibinājumiem</t>
  </si>
  <si>
    <t>Pašvaldību uzturēšanas izdevumu transferti uz valsts budžetu</t>
  </si>
  <si>
    <t>04.11114</t>
  </si>
  <si>
    <t>07.4501</t>
  </si>
  <si>
    <t>Novērst plūdu un krasta erozijas risku apdraudējumu Ogres pilsētas teritorijā, veicot vecā aizsargdambja pārbūvi un jauna aizsargmola (straumvirzes) būvniecību pie Ogres upes ietekas Daugavā</t>
  </si>
  <si>
    <t>SAM 9.2.4.2. Pasākumi vietējās sabiedrības slimību profilaksei un veselības veicināšanai</t>
  </si>
  <si>
    <t xml:space="preserve">ES Projekta finansējums </t>
  </si>
  <si>
    <t>Kopā "Aspazija"</t>
  </si>
  <si>
    <t>09.8101</t>
  </si>
  <si>
    <t>08.3301</t>
  </si>
  <si>
    <t>03.1101</t>
  </si>
  <si>
    <t>03.2001</t>
  </si>
  <si>
    <t>03.6001</t>
  </si>
  <si>
    <t>10.5001</t>
  </si>
  <si>
    <t>01.1001</t>
  </si>
  <si>
    <t>01.83011</t>
  </si>
  <si>
    <t>01.83012</t>
  </si>
  <si>
    <t>01.8901</t>
  </si>
  <si>
    <t>04.4301</t>
  </si>
  <si>
    <t>04.2103</t>
  </si>
  <si>
    <t>04.11102</t>
  </si>
  <si>
    <t>04.11103</t>
  </si>
  <si>
    <t>Ralfs Prancāns</t>
  </si>
  <si>
    <t>10.70006</t>
  </si>
  <si>
    <t>08.29007</t>
  </si>
  <si>
    <t>Papildus aktivitātes  Ogres novada pašvaldības iestādēs (vasaras nometnes)</t>
  </si>
  <si>
    <t>01.8201</t>
  </si>
  <si>
    <t>Vispārēja rakstura transferti no pašvaldību budžeta valsts budžetam</t>
  </si>
  <si>
    <t>09.82001</t>
  </si>
  <si>
    <t>09.82039</t>
  </si>
  <si>
    <t>Zaudējumi no valūtas kursa svārstībām</t>
  </si>
  <si>
    <t>09.82042</t>
  </si>
  <si>
    <t>Mērķdotācijas tautas kolektīvu vad.</t>
  </si>
  <si>
    <t>Ogres Vilki</t>
  </si>
  <si>
    <t>Reinis Jurka</t>
  </si>
  <si>
    <t>Kirilu Maslovu</t>
  </si>
  <si>
    <t>motsports</t>
  </si>
  <si>
    <t>Austris Brazevičs</t>
  </si>
  <si>
    <t>Plāns</t>
  </si>
  <si>
    <t>Ogres novadnieka karte</t>
  </si>
  <si>
    <t>08.29008</t>
  </si>
  <si>
    <t>ERAF "Pakalpojumu infrastruktūras attīstība deinstitualizācijas plānu īstenošanai"</t>
  </si>
  <si>
    <t>Finansējums asistenta pakalpojumiem</t>
  </si>
  <si>
    <t>03.6002</t>
  </si>
  <si>
    <t>Atskurbtuves pakalpojumiem</t>
  </si>
  <si>
    <t>04.11116</t>
  </si>
  <si>
    <t>Projektu konkurss "Veidojam vidi ap mums"</t>
  </si>
  <si>
    <t>08.29011</t>
  </si>
  <si>
    <t xml:space="preserve">Ogres pensionāru biedrībai - darbības atbalstam   </t>
  </si>
  <si>
    <t xml:space="preserve">Latvijas neredzīgo biedrība - darbības atbalstam   </t>
  </si>
  <si>
    <t xml:space="preserve">Inval. Biedr.inventāra, aparatūras rem. </t>
  </si>
  <si>
    <t>Rokdarbu izstādes organizēšanai</t>
  </si>
  <si>
    <t xml:space="preserve">Latvijas sieviešu invalīdu apvienība "Aspazija" - 3 interaktīvu pasākumu daļējai finansēšanai </t>
  </si>
  <si>
    <t>KOPĀ sabiedriskām organizācijām EKK 3200</t>
  </si>
  <si>
    <t xml:space="preserve">Represētajiem finansiāls pabalsts 18. novembrī </t>
  </si>
  <si>
    <t>Inval. Biedr. balvu ieg. sporta spēļu uzvar.</t>
  </si>
  <si>
    <t xml:space="preserve">Inval. Biedr. kancelejas precēm </t>
  </si>
  <si>
    <t>01.6001</t>
  </si>
  <si>
    <t>Vēlēšanu komisija</t>
  </si>
  <si>
    <t xml:space="preserve">Izdevumi ceļu malu zāles pļaušanai  Ogresgala pagastā                                             </t>
  </si>
  <si>
    <t>Finansējums peldbaseinam "Neptūns"</t>
  </si>
  <si>
    <t>Garāžu noma</t>
  </si>
  <si>
    <t>Pašvaldības ielu apgaismojuma un ēku elektrotehnisko iekārtu uzturēšanai</t>
  </si>
  <si>
    <t>Ielu apgaismojuma rekonstrukcijas darbiem saskaņā ar Latvenergo plānotajiem remontiem</t>
  </si>
  <si>
    <t>Ielu apgaismojuma remontiem</t>
  </si>
  <si>
    <t>Elektroenerģijas tirgus izpētei un uzraudzībai</t>
  </si>
  <si>
    <t>Pasta, telefona un citu sakaru pakalpojumiem</t>
  </si>
  <si>
    <t>Kapu apgaismojumam</t>
  </si>
  <si>
    <t>Dekoratīvo krūmu, koku stādīšanai un atjaunošanai  pilsētā</t>
  </si>
  <si>
    <t>Koku ciršanai, vainagošanai, zaru apgriešanai Ogrē un Ogresgala pag.</t>
  </si>
  <si>
    <t>Komunālie pakalpojumi pašvaldības īpašumos Gaismas prospekts Nr. 2/6 un Mālkalnes prospekts Nr. 10</t>
  </si>
  <si>
    <t>Karims Ali</t>
  </si>
  <si>
    <t>Artūrs Pastors</t>
  </si>
  <si>
    <t>Paula Boķe</t>
  </si>
  <si>
    <t>kamaniņu sports</t>
  </si>
  <si>
    <t>Krists Kristers Sūna</t>
  </si>
  <si>
    <t>Pavisam kopā</t>
  </si>
  <si>
    <t xml:space="preserve">Ogres novada pašvaldības Projektu ieņēmumu un izdevumu tāmes pēc </t>
  </si>
  <si>
    <t>08.4001</t>
  </si>
  <si>
    <t>04.51015</t>
  </si>
  <si>
    <t>06.60004</t>
  </si>
  <si>
    <t>10.70009</t>
  </si>
  <si>
    <t>Dabas un bioloģiskās daudzveidības saglabāšanas un aizsardzības pasākumi īpaši aizsargājamajā dabas teritorijā “Ogres ieleja”” (Mazozolu - Meņģeles trošu tilts, skatu platforma, pievedceļš)</t>
  </si>
  <si>
    <t>Konkurss vides pieejamības nodrošin. Invalīdiem</t>
  </si>
  <si>
    <t>Dotācija no visp. ieņēm.(pašv.finansējums)</t>
  </si>
  <si>
    <t>Nepieciešmais kredīts</t>
  </si>
  <si>
    <t>No iepriekšējā gada pārejošais kredīts</t>
  </si>
  <si>
    <r>
      <t xml:space="preserve">Projektu konkurss </t>
    </r>
    <r>
      <rPr>
        <b/>
        <sz val="11"/>
        <rFont val="Times New Roman"/>
        <family val="1"/>
      </rPr>
      <t xml:space="preserve">RADI </t>
    </r>
    <r>
      <rPr>
        <sz val="11"/>
        <rFont val="Times New Roman"/>
        <family val="1"/>
      </rPr>
      <t xml:space="preserve">Ogres novadam </t>
    </r>
  </si>
  <si>
    <t>04.11118</t>
  </si>
  <si>
    <t>04.2102</t>
  </si>
  <si>
    <t>05.30002</t>
  </si>
  <si>
    <t>06.60015</t>
  </si>
  <si>
    <t>08.29012</t>
  </si>
  <si>
    <t>10.70016</t>
  </si>
  <si>
    <t xml:space="preserve">Centrālās Baltijas jūras reģiona programmas projekts "Nordic urban planning:  holistic approach for extreme weather" (NOAH) </t>
  </si>
  <si>
    <t xml:space="preserve"> </t>
  </si>
  <si>
    <t>09.82002</t>
  </si>
  <si>
    <t>09.82003</t>
  </si>
  <si>
    <t>09.82004</t>
  </si>
  <si>
    <t>09.82005</t>
  </si>
  <si>
    <t>09.82006</t>
  </si>
  <si>
    <t>09.82009</t>
  </si>
  <si>
    <t>09.82045</t>
  </si>
  <si>
    <t>09.82046</t>
  </si>
  <si>
    <t>09.82010</t>
  </si>
  <si>
    <t>10.70007</t>
  </si>
  <si>
    <t xml:space="preserve">Erasmus + programmas projekts Nr.2018-1-FR01-KA229-047933 3 (ģimnāzija) </t>
  </si>
  <si>
    <t xml:space="preserve">Erasmus + programmas projekts Nr.2018-1-PT01-KA229-047540 6 (ģimnāzija) </t>
  </si>
  <si>
    <t>Erasmus + programmas projekts Nr.2018-1-TR01-KA229-059950 3. Angļu valodas apguve (ģimnāzija)</t>
  </si>
  <si>
    <t>Erasmus + programmas projekts Nr.2018-1-ES01-KA229-050191 3. Kultūra uz skatuves (ģimnāzija)</t>
  </si>
  <si>
    <t>Erasmus + programmas projekts "No vārdiem pie darbiem: mūsdienīgu lietpratību veicinoša skola" 2018-1-LV01-KA101-046809. 1.vsk.</t>
  </si>
  <si>
    <t xml:space="preserve">Erasmus + programmas projekts Nr.2018-1-EE01-KA229-047133 4 Darbīgās bites (Dzīpariņš) </t>
  </si>
  <si>
    <t>Sadarbībā ar Rīgas tehnisko universitāti, Māturības un tehnoloģju mācību kabineta aprīkošanā 1. vidusskolā</t>
  </si>
  <si>
    <t>ES programma Izaugsme un nodarbinātībā, projekts "Proti un Dari" 8.3.3.0/15/I/001</t>
  </si>
  <si>
    <t>Sociālo pakalpojumu atbalsta sistēmas pilnveide, 9.2.2.2/16/I/001</t>
  </si>
  <si>
    <t>ES projekts "Deinstitucionalizācija un sociālie pakalpojumi personām ar invaliditāti un bērniem" 9.2.2.1/15/I/002</t>
  </si>
  <si>
    <t>(pašv.līdzf.)Dotācija no visp. ieņēm.</t>
  </si>
  <si>
    <t>Budžeta iestāžu nodokļu, nodevu un sankciju maksājumi</t>
  </si>
  <si>
    <t>Pavisam kopā ar atlikumu</t>
  </si>
  <si>
    <t xml:space="preserve">Ogres novada pašvaldības kultūras iestāžu izdevumu tāmes pēc </t>
  </si>
  <si>
    <t>Struktūrvienības klasifikācijas kods ________________________</t>
  </si>
  <si>
    <t>01.83013</t>
  </si>
  <si>
    <t>04.7301</t>
  </si>
  <si>
    <t>06.60007</t>
  </si>
  <si>
    <t>06.60008</t>
  </si>
  <si>
    <t>07.4502</t>
  </si>
  <si>
    <t>08.3101</t>
  </si>
  <si>
    <t>09.10010</t>
  </si>
  <si>
    <t>09.60010</t>
  </si>
  <si>
    <t>09.60020</t>
  </si>
  <si>
    <t>Finans. PA TAA Zilie kalni</t>
  </si>
  <si>
    <t>Tūrisma informācijas centrs</t>
  </si>
  <si>
    <t>Īpaš. uzmērīš., reģistrēš. Zemesgrām.</t>
  </si>
  <si>
    <t>Pārējie izdev.</t>
  </si>
  <si>
    <t xml:space="preserve">     Veselības veicināšanas pasākumiem</t>
  </si>
  <si>
    <t>Televīzija</t>
  </si>
  <si>
    <t>Finans. bērniem, kuri apmeklē priv. PII</t>
  </si>
  <si>
    <t>Izglīt. papildus pakalpoj. PII ēdin.kompensāc.</t>
  </si>
  <si>
    <t>Izglīt. papildus pakalpoj.skolēnu pārvadāj.</t>
  </si>
  <si>
    <t>Mācību, darba un dienesta komandējumi, darba braucieni</t>
  </si>
  <si>
    <t>Kopā "Latvijas Sarkanais krusts Viduslatvijas komiteja":</t>
  </si>
  <si>
    <t>09.82011</t>
  </si>
  <si>
    <t>09.82032</t>
  </si>
  <si>
    <t>10.70011</t>
  </si>
  <si>
    <t>08.29022</t>
  </si>
  <si>
    <t>06.60024</t>
  </si>
  <si>
    <t>Sociālo pakalpojumu atbalsta sistēmas pilnveide projekta (GRT) Nr.9.2.2.2/16/I/001.</t>
  </si>
  <si>
    <t>Erasmus+programmas projekts "ALLready a Success to School Life" (Pilnībā gatavs veiksmei skolā) Nr.2018-1-TR01-KA201-059716.Sākumsk.</t>
  </si>
  <si>
    <t>Ģimnāzijai reģionālā metod.centra un pedagogu tālākizglītības centra darbības nodrošin. visp. izgl. iest. pedagogiem</t>
  </si>
  <si>
    <t>LAD projekts "Ogresgala Tautas nama laukuma labiekārtošana" Nr.19-04-AL02-A019.2202-000006.</t>
  </si>
  <si>
    <t>Vides aizsardzības proj. "Lobes ezera apsaimniekošanas plāna izstrāde"</t>
  </si>
  <si>
    <t>Kapsētu informācijas digitalizācijai un datu pārvaldības sistēmas ieviešanai</t>
  </si>
  <si>
    <t>Mērķdotācija līdz 5 gadu vecumam PII "Zelta sietiņš" speciālajā grupā</t>
  </si>
  <si>
    <t>Ivo Bombāns</t>
  </si>
  <si>
    <t>2020.g. Plāns</t>
  </si>
  <si>
    <t>ekonomiskās klasifikācijas kodiem 2020. gadam</t>
  </si>
  <si>
    <t>tāme pēc ekonomiskās klasifikācijas kodiem 2020. gadam</t>
  </si>
  <si>
    <t>2020.g.</t>
  </si>
  <si>
    <t>2020.g. budžets</t>
  </si>
  <si>
    <t>Meliorācijas sistēmu periodiskā uzturēšana</t>
  </si>
  <si>
    <t>Ciemupes peldētavas ierīkošanas apliecinājuma kartes izstrādei un  daļējai izbūvei</t>
  </si>
  <si>
    <t>Literāri radošās apviebnības "Sirdsdoma" 15. gadskārtas pasākumam</t>
  </si>
  <si>
    <t>Biedrība "Studija TEIXMA" - tērpiem un transportam dziesmu svētkos</t>
  </si>
  <si>
    <t>"Sibīrijas bērni" organizēto pasākumu atbalstam</t>
  </si>
  <si>
    <t>Fotoklubs Ogre - pasākumam OGRES FOTO DIENAS 2020</t>
  </si>
  <si>
    <t>Starptautiskās Veco ļaužu dienas organizēšana</t>
  </si>
  <si>
    <t>Zelta un dimanta kāzu jubilāru pasākumu organizēšana</t>
  </si>
  <si>
    <t xml:space="preserve">Zelta un dimanta kāzu jubilāru sveikšana </t>
  </si>
  <si>
    <t>Dāvanas mātēm - reresētajām personām (Mātes dienā)</t>
  </si>
  <si>
    <t>Atvadīšanās no ziemas un pavasara sagaidīšana - Masļeņica</t>
  </si>
  <si>
    <t>Ogresgala pagasta svētku organizēšanai</t>
  </si>
  <si>
    <t>Sakoptākais namīpašums Ogrē, KONKURSS. Naudas balvas</t>
  </si>
  <si>
    <t>Sakoptākais namīpašums Ogrē, transporta izdevumi</t>
  </si>
  <si>
    <t>Sakoptākais namīpašums Ogrē, noslēguma pasākumam</t>
  </si>
  <si>
    <t>Sakoptākā lauku sēta Ogres novadā 2020, naudas balvām</t>
  </si>
  <si>
    <t>Sakoptākā lauku sēta Ogres novadā 2020, noslēguma pasākumam</t>
  </si>
  <si>
    <t>Naudas balvas 100 gadu un vecākām Ogres novadā dekl.personām</t>
  </si>
  <si>
    <t xml:space="preserve">Pasākumu organizēšana Ogres Goda pilsoņiem, ar Valsts apbalvojumime apbalvotajiem Ogres nov. iedzīvotājiem </t>
  </si>
  <si>
    <t>Apbalvojumi Ogres Goda pilsoņiem un Gada Ogrēnietis 2020</t>
  </si>
  <si>
    <t>Sabiedrisko attiecību nodaļas vadītājs</t>
  </si>
  <si>
    <t>N.Sapožņikovs</t>
  </si>
  <si>
    <t>10.70010</t>
  </si>
  <si>
    <t>Latvijas Sarkanais krusts Viduslatvijas komiteja (degvielai un sacensībām)</t>
  </si>
  <si>
    <t>Komunālajiem pakalpojumiem</t>
  </si>
  <si>
    <t>Latvijas sieviešu invalīdu apvienība "Aspazija" - sakaru pakalpojumiem</t>
  </si>
  <si>
    <t>Biedrība "Baltā dūja"  (darbības nodrošināšanai)</t>
  </si>
  <si>
    <t>Par finasiālo atbalstu Ogres novada sporta klubiem 2020. gadam.</t>
  </si>
  <si>
    <t>Ogres novada pašvaldības 2020. gada sporta komandu/klubu budžets. 08.1002</t>
  </si>
  <si>
    <t>2020. gads</t>
  </si>
  <si>
    <t>biedrība ''Nesēdi mājas''</t>
  </si>
  <si>
    <t>velokomanda</t>
  </si>
  <si>
    <t>biedrība Ogres stils</t>
  </si>
  <si>
    <t>ar slēpēm</t>
  </si>
  <si>
    <t>Ogres novada skolēnu dalība Latvijas jaunatnes ziemas festivālā</t>
  </si>
  <si>
    <t>Ogres novada vieglatlētikas izlašu dalībnieki</t>
  </si>
  <si>
    <t>dažādi 70 dal x 100 eur</t>
  </si>
  <si>
    <t>Gundega Heidingere</t>
  </si>
  <si>
    <t>Rihards Bremze</t>
  </si>
  <si>
    <t>Nauris Neimanis</t>
  </si>
  <si>
    <t>3 velo sportisti A.Vidovskis, E.Ābols, M.Vancevičs</t>
  </si>
  <si>
    <t>velosports</t>
  </si>
  <si>
    <t>Kristers Alens Galčins</t>
  </si>
  <si>
    <t>Pēteris Preisis</t>
  </si>
  <si>
    <t>Aleksandrs Kaļinovs</t>
  </si>
  <si>
    <t>Dotācija</t>
  </si>
  <si>
    <t>Klubu atbalsts</t>
  </si>
  <si>
    <t>Olimpiskā vienība</t>
  </si>
  <si>
    <t xml:space="preserve">          Detalizēts sadalījums</t>
  </si>
  <si>
    <t>Velo novietnes izbūvei Bērzu alejā</t>
  </si>
  <si>
    <t xml:space="preserve">Velotrenažieru, info stendu, velonovietnes uzstādīšanai Brīvības ielā, gājēju veloceliņu malā, speciāli tam izbūvētajā vietā "Vingruma sala" </t>
  </si>
  <si>
    <t>Tirgus Ogrē Brīvības ielā  laukuma būvprojekta izstrādei</t>
  </si>
  <si>
    <t xml:space="preserve">Brīvības ielas posmā no Rīgas ielas 4 līdz Skolas ielai pārbūves būvprojekta izstrādei </t>
  </si>
  <si>
    <t>Apgaismojuma izbūvei Ogres vecupē (projekts +būvniecība)</t>
  </si>
  <si>
    <t>Pārējiem labiekārtošanas darbiem-neparedzētie</t>
  </si>
  <si>
    <t xml:space="preserve">Svētku dekoru papildināšanai </t>
  </si>
  <si>
    <t>Brīvības iela 18, Ogre (Zelta liepa) apdrošināšanas izmaksām</t>
  </si>
  <si>
    <t>06.2001 Teritoriju attīstība ( projektēšanai )</t>
  </si>
  <si>
    <t>06.4001 Plānotais budžets apgaismošanai</t>
  </si>
  <si>
    <t>06.60003 Plānotais budžets kapu saimniecībai</t>
  </si>
  <si>
    <r>
      <t>06.60012</t>
    </r>
    <r>
      <rPr>
        <sz val="14"/>
        <color indexed="10"/>
        <rFont val="Arial"/>
        <family val="1"/>
      </rPr>
      <t xml:space="preserve"> </t>
    </r>
    <r>
      <rPr>
        <sz val="14"/>
        <rFont val="Arial"/>
        <family val="1"/>
      </rPr>
      <t xml:space="preserve">  </t>
    </r>
    <r>
      <rPr>
        <sz val="14"/>
        <rFont val="Times New Roman"/>
        <family val="1"/>
      </rPr>
      <t>2020. gada budžetā pašvaldības teritoriju labiekārtošanai paredzēti līdzekļi</t>
    </r>
  </si>
  <si>
    <t>Ogres novada pašvaldības Teritorijas plānojuma 2012.-2024.g. grozījumu izstrādei</t>
  </si>
  <si>
    <t>Attīstības programmas 2021-2027.g. izstrādei</t>
  </si>
  <si>
    <t>Poruka ielas būvprojektam</t>
  </si>
  <si>
    <t>Būvprojekts Ogresgala veloceliņa izbūvei</t>
  </si>
  <si>
    <t>Kadiķu, Egļu ielas pārbūves būvprojektam</t>
  </si>
  <si>
    <t>Akmeņu ielas gājēju ceļa posmā no Vidzemes ielas līdz Daugavpils ielai būvprojektam</t>
  </si>
  <si>
    <t>Ogresgala Tradīciju parka ozolu birzs sakopšanai, celmu likvidēšanai</t>
  </si>
  <si>
    <t>Plānots 2020.gadā</t>
  </si>
  <si>
    <t>Atkritumu izvešana no Ogres pilsētas teritorijām</t>
  </si>
  <si>
    <t>Pašvaldības līdzfinansējums asfaltēšanas darbiem dzīv.māju iekšpagalmos</t>
  </si>
  <si>
    <t>Ceļu, ielu, skvēru, tiltu remonts un uzturēšana</t>
  </si>
  <si>
    <t>Mālkalnes pr. 38 energoefektivitātes dokumentācijas izstrāde</t>
  </si>
  <si>
    <t>Brīvības ielas gājēju tuneļa pacēlāju apkalpošana</t>
  </si>
  <si>
    <t>Decentralizēto notekūdeņu uzskaites un kontroles nodrošināšana</t>
  </si>
  <si>
    <t>Finansējums pašv.iestāzu un tuvcīnas skolas uzturēšanas izdevumu segšanai</t>
  </si>
  <si>
    <t>Uzņēmēju sadarbības projekts ar pašvaldību-Ogres novada pašvaldības grantu konkursu 2020.g.</t>
  </si>
  <si>
    <t>Ceļu, trotuāru un stāvlaukumu rekonstrukcijai</t>
  </si>
  <si>
    <t>Ceļu, trotuāru, stāvlaukumu un veloceliņu remontiem</t>
  </si>
  <si>
    <t>Stāvlaukumu uzturēšanai  Ogres pilsētā un Ogresgala pagastā   (2019. gada trīs līgumi)</t>
  </si>
  <si>
    <t>Ogres kapsētas "Smiltāju kapi" teritorijas stāvlaukuma un pievedceļa uzturēšanai</t>
  </si>
  <si>
    <t xml:space="preserve">Līdzfinansējums apzaļumošanas darbiem Grīvas pr. 27 teritorijā    </t>
  </si>
  <si>
    <t>Ogres pilsētas un Ogresgala pagasta ceļu remontiem topogrāfisko shēmu izstrādei</t>
  </si>
  <si>
    <t>Ielu, ceļu un gājēju celiņu datu izmaiņu aktualizācijai Ogrē un Ogresgalā</t>
  </si>
  <si>
    <t>Zemes ierīcības projektu izstrādei:  Velo celiņš Ogre - Ogresgals EUR 49 050 un Caunes ielas daļa atrodas uz privātpersonai piederoša īpašuma Ameņu iela 62, Ogre EUR 1 635</t>
  </si>
  <si>
    <t>Elektro pieslēguma izveidošanai Krasta ielā, Ogrē</t>
  </si>
  <si>
    <t>Brīvības ielas 37B, Ogre, nepieciešamību sabiedrības vajadzībām. (Bibliotēkas un VPII "Cīrulītis" filiāles uzturēšanai)</t>
  </si>
  <si>
    <t>Karjera iela 5, Ogre, uz Ķentes kalna atrodošos būvju atsavināšanai kad apz. 74010051101005 Šķūnis 74010051101006 Pirts</t>
  </si>
  <si>
    <t xml:space="preserve">Parka ielas 5, Ogre, daļas nepieciešamību sabiedrības vajadzībām. Domes lēmums 19.07.2018. </t>
  </si>
  <si>
    <t>Dotācija SIA " CATA"  maršruta Ogre-Atrakciju parks-Ogre papildreisu nodrošināšanai</t>
  </si>
  <si>
    <t xml:space="preserve">05.2001  2020. gada budžetā notekūdeņu apsaimniekošanas  darbiem paredzēti līdzekļi no DR nod. </t>
  </si>
  <si>
    <t xml:space="preserve">05.4001   2020. gada budžetā bioloģiskās daudzveidības un ainavas aizsardzībai paredzēti līdzekļi no DR nod. </t>
  </si>
  <si>
    <t>Piesārņotās vietas izpētei Akmeņu 47</t>
  </si>
  <si>
    <t>Mēs zivīm - Zivju resursu atjaunošanai un aizsardzībai</t>
  </si>
  <si>
    <t>04.510010 Autotransports (ceļu būvniecībai un remontiem)</t>
  </si>
  <si>
    <t>05.1001   2020. gada budžetā novada atkritumu apsaimniekošanas darbiem paredzēti līdzekļi</t>
  </si>
  <si>
    <t>Ogres upes dambja asfaltēšanai posmā no Krasta ielas līdz Suntažu ielai</t>
  </si>
  <si>
    <t>Gājēju ceļam posmā no Krasta ielas promenādes līdz Brīvības ielai 60</t>
  </si>
  <si>
    <t>Mazv.inventāram, materiāliem</t>
  </si>
  <si>
    <t>Rekultivētās atkritumu izgāztuves apsaimniekošanai</t>
  </si>
  <si>
    <t>Ūdensanalīžu veikšanai</t>
  </si>
  <si>
    <t>Meliorācijas sistēmu, ceļa grāvju un caurteku  ikdienas uzturēšanai</t>
  </si>
  <si>
    <t>Digitālas latas Palienes iela 4, iekārtu apkopei un datu apziņošanas sistēmas uzturēšanai</t>
  </si>
  <si>
    <t>Caurtekas izbūvei Urgas upē, lai nodrošinātu piekļuvi nekustamajam īpašumam Piekalnes iela 40</t>
  </si>
  <si>
    <t>Meža kopšanai</t>
  </si>
  <si>
    <t>Pilsētas mežu vides stāvokļa kontrolei (inventarizācija un atmežojamā meža plāna sastādīšana)</t>
  </si>
  <si>
    <t>Latvāņu ierobežošanas pasākumiem</t>
  </si>
  <si>
    <t>Plaužu ezera krasta niedru pļaušanai krasta līnijā (divas dienas, roku darbs)</t>
  </si>
  <si>
    <t>Plaužu ezera apsaimniekošanas plāna izstrādei 2019.g. līg.</t>
  </si>
  <si>
    <t>Plaužu ezera ekspluatācijas plāna izveidošanai</t>
  </si>
  <si>
    <t>Lobes ezera ekspluatācijas plāna izveidošanai</t>
  </si>
  <si>
    <t>Sugām bagātas ganības un ganītas pļavas un eitrofas augsto lakstaugu audzes pļaušanai vienu reizi gadā ar zāles novākšanu</t>
  </si>
  <si>
    <t xml:space="preserve">Ielu un ceļu ikdienas uzturēšanai un  maģistrālo ielu ikdienas uzturēšanai   (no mērķdotācijas)                                  </t>
  </si>
  <si>
    <t>Zaļā tūrisma ceļu attīstība Latvijas un Krievijas pierobežas reģionā ” Greenways (Zaļais ceļš Rīga – Pleskava)LV-RU-006</t>
  </si>
  <si>
    <t>ekonomiskās klasifikācijas kodiem 2020. gadam (EUR)</t>
  </si>
  <si>
    <t>04.51016</t>
  </si>
  <si>
    <t>04.51002</t>
  </si>
  <si>
    <t>04.51003</t>
  </si>
  <si>
    <t>04.51017</t>
  </si>
  <si>
    <t>Projektu pieteikumu izstrāde, tehniskās dokumentācijas sagatavošana, ekspertīzes, auditi</t>
  </si>
  <si>
    <t>04.51018</t>
  </si>
  <si>
    <t>Iekārtā (gājēju) tilta pār Ogres upi teritorijā starp J.Čakstes pr. Un Ogres ielu Ogrē, būvniecība</t>
  </si>
  <si>
    <t>06.60026</t>
  </si>
  <si>
    <t>06.60027</t>
  </si>
  <si>
    <t>06.60028</t>
  </si>
  <si>
    <t>Sabiedrības un jaunatnes informēšana par 2020.gada pašvaldības projektiem</t>
  </si>
  <si>
    <t>18.630</t>
  </si>
  <si>
    <t>18.620</t>
  </si>
  <si>
    <t>21.100</t>
  </si>
  <si>
    <t>Izglītības pārvalde</t>
  </si>
  <si>
    <t>05.30001</t>
  </si>
  <si>
    <t>Energoefektivitātes pasākumi</t>
  </si>
  <si>
    <t>04.51005</t>
  </si>
  <si>
    <t>04.51019</t>
  </si>
  <si>
    <t>04.51020</t>
  </si>
  <si>
    <t>04.51021</t>
  </si>
  <si>
    <t>04.51022</t>
  </si>
  <si>
    <t>04.51023</t>
  </si>
  <si>
    <t>04.51024</t>
  </si>
  <si>
    <t>04.51025</t>
  </si>
  <si>
    <t>Blaumaņa ielas Ogrē pārbūve</t>
  </si>
  <si>
    <t>Gājēju ceļa izbūve Jaunogres prospekta posmā no Baldones ielas līdz Raiņa prospektam, Ogrē</t>
  </si>
  <si>
    <t>Rožu ielas Ogrē pārbūve</t>
  </si>
  <si>
    <t>Gājēju tuneļa apgaismojuma ierīkošana Upes pr. 19 un Skolas iela 18, Ogrē</t>
  </si>
  <si>
    <t>Egļu ielas Ogrē pārbūve</t>
  </si>
  <si>
    <t>Kadiķu ielas Ogrē pārbūve</t>
  </si>
  <si>
    <t>“Gājēju un veloceliņa izbūve gar autoceļa V996 "Ogre – Viskāļi - Koknese" brauktuves malu posmā no Ogres līdz Ogresgalam</t>
  </si>
  <si>
    <t>Lēdmanes ielas Ogrē pārbūve</t>
  </si>
  <si>
    <t xml:space="preserve"> Gājēju ceļa no Pārogres stacijas līdz Pārogres gatvei pārbūve</t>
  </si>
  <si>
    <t>08.29023</t>
  </si>
  <si>
    <t>08.29024</t>
  </si>
  <si>
    <t>LAD projekts  "Rotaļu laukuma izveide Ogres novada Ķeipenes pagastā" Nr.20-04-AL02-A019.2202-000008.</t>
  </si>
  <si>
    <t>09.82047</t>
  </si>
  <si>
    <t>09.82048</t>
  </si>
  <si>
    <t>09.82049</t>
  </si>
  <si>
    <t>09.82050</t>
  </si>
  <si>
    <t>09.82051</t>
  </si>
  <si>
    <t>09.82052</t>
  </si>
  <si>
    <t>09.82053</t>
  </si>
  <si>
    <t>Projekts "TRĪS.KOPĀ.LABĀK", "Starpnovadu un starpinstitūciju sadarbība jaunatnes politikas īstenošanai vietējā līmenī".</t>
  </si>
  <si>
    <t>Erasmus programmas projekts Nr.2020-1-LV01-KA101-077352 Skolu mācību mobilitāte (ģimnāzija)</t>
  </si>
  <si>
    <t>Erasmus programmas projekts Nr.2020-1-IT02-KA229-079156 2, Skolas apmaiņas partnerība (Jaunogres vsk.)</t>
  </si>
  <si>
    <t>Erasmus programmas projekts Nr.2020-1-PL01-KA229-081399 6 Es izaicinu vecumu ar sparu, (ģimnāzija)</t>
  </si>
  <si>
    <t>Erasmus programmas projekts Nr.2020-1-TR01-KA229-093575 5 Atklāj patieso dzīvi, (ģimnāzija)</t>
  </si>
  <si>
    <t>Erasmus programmas projekts Nr.2020-1-FR01-KA229-079905 2, Sagatavo mūs nākotnei, (ģimnāzija)</t>
  </si>
  <si>
    <t>Erasmus programmas projekts Nr.2020-1-TR01-KA229-093837 4, , (ģimnāzija)</t>
  </si>
  <si>
    <t>Ogres novada pašvaldības deleģēto funkciju izpildes plāns 2020.gadā PA Ogres komunikācijas</t>
  </si>
  <si>
    <t>Pakalpojumi pašvaldības iestādēm</t>
  </si>
  <si>
    <t>Kanalizācijas spiedvada avārijas novēršana Skolas ielā pie tuneļa</t>
  </si>
  <si>
    <t>Finansējums veselības veicināšanas pasākumiem</t>
  </si>
  <si>
    <t>Sakrālā mantojuma saglabāšana</t>
  </si>
  <si>
    <t>Zilokalnu un Vidus prospekta krustojuma Ogrē satiksmes organizācijas izbūve</t>
  </si>
  <si>
    <t>Parka ielas Ogrē pārbūve</t>
  </si>
  <si>
    <t>Birzgales ielas Ogrē pārbūve</t>
  </si>
  <si>
    <t>Nevalstisko organizāciju projektu atbalstam</t>
  </si>
  <si>
    <t>Ogres bijušās sanatorijas ieejas vestibila atjaunošana</t>
  </si>
  <si>
    <t>Sūkņu stacijas Ogrē, projektēšana</t>
  </si>
  <si>
    <t>Jauniešu mājas Ogrē būvprojekta izstrāde</t>
  </si>
  <si>
    <t>Projekts SAM 5.6.2.Degradētās teritorijas Pārogres industriālajā parkā revitalizācija</t>
  </si>
  <si>
    <t>LAD projekts Suntažu tirgus laukuma izveide</t>
  </si>
  <si>
    <t xml:space="preserve">LAD projekts "Grants ceļu bez cietā seguma posmu pārbūve Ogres novadā" </t>
  </si>
  <si>
    <t>Projekts Siltumnīcefekta gāzu emisiju samazināšana izbūvējot Ogres Centrālo bibliotēkas ēku EKII-4/2</t>
  </si>
  <si>
    <t>Projekts Viedo tehnoloģiju ieviešana Ogres pilsētas apgaismojuma sistēmā EKII-3/19</t>
  </si>
  <si>
    <t>Projekts Kultūras mantojuma saglabāšana un attīstība Daugavas ceļā Nr.5.5.1.0./17/I/005</t>
  </si>
  <si>
    <t>LAD projekts "Brīvdabas skatuves būvniecība un Meņģeles pagasta Tautas nama laukuma labiekārtošana" Nr.20-04-AL02-A019.2202-000007.</t>
  </si>
  <si>
    <t>Projekts ''Uzlabot vispārējās izglītības iestāžu mācību vidi Ogres novadā’’ Nr.8.1.2.0/17/I/008</t>
  </si>
  <si>
    <t>ES projekts Karjeras atbalsts vispārējās un profesionālās izglītības iestādēs, 8.3.5.0/16/I/001</t>
  </si>
  <si>
    <t>ES projekts Atbalsts priekšlaicīgas mācību pārtraukšanas samazināšanai, 8.3.4.0/16/I/001, PUMPURS</t>
  </si>
  <si>
    <t>Valsts budžeta programma "Latvijas skolas soma''</t>
  </si>
  <si>
    <t>Erasmuss programmas projekts Digitālās kompetences darba tirgū jauniešiem ar ierobežotām iespējām, 2017-1-DE04-KA205-015273 (kipra)</t>
  </si>
  <si>
    <t>ES projekts Atbalsts izglītojamo idividuālo kompetenču attīstībai, 8.3.2.2/16/I/001</t>
  </si>
  <si>
    <t>Projekts "Uzņēmējdarbības attīstība Ogres stacijas rajonā, pārbūvējot uzņēmējiem svarīgu ielas posmu un laukumu Ogrē'' un Stacijas laukuma stāvlaukuma pārbūve</t>
  </si>
  <si>
    <t>"CATA" izdevumiem par apbraucamā ceļa izmantošana Skolas ielas Ogrē remonta laikā</t>
  </si>
  <si>
    <t>Ogres novada pašvaldības deleģēto funkciju izpildes plāns 2020.gadā SIA Ogres namsaimnieks</t>
  </si>
  <si>
    <t>Līdzfinansējums dzīvojamo māju energoefektivitātes paaugstināšanai</t>
  </si>
  <si>
    <t>Materiāli, mazvērtīgais inventārs pilsētas talkai</t>
  </si>
  <si>
    <t>Ogres kapos, Ogrē,Turkalnes iela 35, 4 kapu soliņu un 2 galdu iegādei</t>
  </si>
  <si>
    <t>Ogresgala Tradīciju parka ozolu birzs sakopšanai 6 āra soliņi, 4 apgaismes ķermeņi</t>
  </si>
  <si>
    <t>Elektrības sadalnes ierīkošanai pie brīvdabas skatuves Ogresgalā</t>
  </si>
  <si>
    <t>Ēkas fasādes Bumbieru ielā 9, Ogresgalā remontdarbiem</t>
  </si>
  <si>
    <t>Zano Photon viedais soliņš pie Mūzikas skolas</t>
  </si>
  <si>
    <t>NĪ Brīvības 3 iegāde, pirmpirkuma tiesību izmantošana</t>
  </si>
  <si>
    <t>NĪ Brīvības 3 iegāde, notāra pakalpojumiem, topogrāfiskā plāna izstrādei</t>
  </si>
  <si>
    <t>09.5107</t>
  </si>
  <si>
    <t>Mūzikas un mākslas skola</t>
  </si>
  <si>
    <t>Naudas balvas</t>
  </si>
  <si>
    <t>Finansējums Ukrainas bērnu un jauniešu, kas cietuši no karadarbības uzņemšanai Ogres novadā</t>
  </si>
  <si>
    <t>Finansējums grāmatai "100 Ogres novada personības" izdošanai</t>
  </si>
  <si>
    <t xml:space="preserve">Finansējums grāmatai "Mazozoli gadu ritumā" izdošanai </t>
  </si>
  <si>
    <t xml:space="preserve">Finansējums grāmatai "Mans lidojums uz Japānu" </t>
  </si>
  <si>
    <t>SIA "SKUBA TV productions" dokumentālas filmas "Ogre var!" veidošanai</t>
  </si>
  <si>
    <t>Jāņu vides objektam "Pūdele" Plāteres pilskalnā</t>
  </si>
  <si>
    <t>B-ba "Lords of Liguids" Edijs Elksnis</t>
  </si>
  <si>
    <t>autosports (kartings)</t>
  </si>
  <si>
    <t>biedrība ''Ogres svarcelšanas klubs''</t>
  </si>
  <si>
    <t>svarcelšana</t>
  </si>
  <si>
    <t>biedrība "Peldēšanas klubs "Ogre""</t>
  </si>
  <si>
    <t>peldēšana</t>
  </si>
  <si>
    <t>09.82055</t>
  </si>
  <si>
    <t>ES projekts Digitālo mācību un metodisko līdzekļu izstrāde Uzdevumi.lv modernizācijai Nr.8.3.1.2/19/A/005.(1.vsk.)</t>
  </si>
  <si>
    <t>08.1002  Kopsumma EUR 429 847</t>
  </si>
  <si>
    <t>Kompensācijas, kuras izmaksā personām, pamatojoties uz Latvijas tiesu nolēmumiem</t>
  </si>
  <si>
    <t>Biedrība "LUX VIRIDIA"</t>
  </si>
  <si>
    <t>09.21912</t>
  </si>
  <si>
    <t>Finans. bērniem, kuri apmeklē priv. izglīt.iest.</t>
  </si>
  <si>
    <t>Ēdināšanas izdevumi skolās</t>
  </si>
  <si>
    <t>09.600139</t>
  </si>
  <si>
    <t>09.82056</t>
  </si>
  <si>
    <t>Jaunu Pašvaldības pakalpojumu sniegšanas veidu attīstība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</si>
</sst>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Ls&quot;;[Red]\-#,##0\ &quot;Ls&quot;"/>
    <numFmt numFmtId="165" formatCode="0.0"/>
  </numFmts>
  <fonts count="125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40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color indexed="3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4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10"/>
      <name val="Arial"/>
      <family val="1"/>
    </font>
    <font>
      <sz val="14"/>
      <name val="Arial"/>
      <family val="1"/>
    </font>
    <font>
      <sz val="11"/>
      <color indexed="63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30"/>
      <name val="Times New Roman"/>
      <family val="1"/>
    </font>
    <font>
      <i/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30"/>
      <name val="Times New Roman"/>
      <family val="1"/>
    </font>
    <font>
      <sz val="12"/>
      <color indexed="30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1"/>
      <color indexed="3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rgb="FF0070C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70C0"/>
      <name val="Times New Roman"/>
      <family val="1"/>
    </font>
    <font>
      <sz val="12"/>
      <color rgb="FF000000"/>
      <name val="Times New Roman"/>
      <family val="1"/>
    </font>
    <font>
      <i/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0070C0"/>
      <name val="Times New Roman"/>
      <family val="1"/>
    </font>
    <font>
      <sz val="12"/>
      <color rgb="FF0070C0"/>
      <name val="Times New Roman"/>
      <family val="1"/>
    </font>
    <font>
      <sz val="12"/>
      <color rgb="FF002060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1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/>
      <top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/>
      <bottom style="thin">
        <color indexed="8"/>
      </bottom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 style="medium"/>
      <bottom style="medium">
        <color indexed="8"/>
      </bottom>
    </border>
    <border>
      <left style="medium"/>
      <right style="medium"/>
      <top style="medium"/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/>
      <top style="thin"/>
      <bottom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>
        <color indexed="8"/>
      </bottom>
    </border>
    <border>
      <left style="thin"/>
      <right style="thin"/>
      <top style="medium"/>
      <bottom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>
        <color indexed="8"/>
      </bottom>
    </border>
    <border>
      <left/>
      <right/>
      <top/>
      <bottom style="medium"/>
    </border>
    <border>
      <left/>
      <right style="thin"/>
      <top style="thin">
        <color indexed="8"/>
      </top>
      <bottom style="thin"/>
    </border>
    <border>
      <left style="medium">
        <color indexed="8"/>
      </left>
      <right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 style="medium">
        <color indexed="8"/>
      </top>
      <bottom style="thin">
        <color indexed="8"/>
      </bottom>
    </border>
    <border>
      <left/>
      <right style="thin"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medium">
        <color indexed="8"/>
      </right>
      <top style="medium"/>
      <bottom style="medium"/>
    </border>
    <border>
      <left style="thin">
        <color indexed="8"/>
      </left>
      <right/>
      <top/>
      <bottom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0" fontId="0" fillId="0" borderId="0">
      <alignment/>
      <protection/>
    </xf>
    <xf numFmtId="0" fontId="81" fillId="0" borderId="0">
      <alignment/>
      <protection/>
    </xf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9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Fill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7" fillId="0" borderId="15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2" fillId="0" borderId="16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7" fillId="0" borderId="15" xfId="0" applyFont="1" applyBorder="1" applyAlignment="1">
      <alignment wrapText="1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17" xfId="0" applyFont="1" applyFill="1" applyBorder="1" applyAlignment="1">
      <alignment/>
    </xf>
    <xf numFmtId="0" fontId="9" fillId="0" borderId="16" xfId="0" applyFont="1" applyBorder="1" applyAlignment="1">
      <alignment wrapText="1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2" fillId="0" borderId="18" xfId="0" applyNumberFormat="1" applyFont="1" applyBorder="1" applyAlignment="1">
      <alignment horizontal="center" wrapText="1"/>
    </xf>
    <xf numFmtId="0" fontId="7" fillId="0" borderId="19" xfId="0" applyFont="1" applyBorder="1" applyAlignment="1">
      <alignment/>
    </xf>
    <xf numFmtId="3" fontId="13" fillId="0" borderId="0" xfId="0" applyNumberFormat="1" applyFont="1" applyAlignment="1">
      <alignment/>
    </xf>
    <xf numFmtId="0" fontId="9" fillId="0" borderId="16" xfId="0" applyFont="1" applyFill="1" applyBorder="1" applyAlignment="1">
      <alignment wrapText="1"/>
    </xf>
    <xf numFmtId="3" fontId="9" fillId="0" borderId="20" xfId="0" applyNumberFormat="1" applyFont="1" applyBorder="1" applyAlignment="1">
      <alignment/>
    </xf>
    <xf numFmtId="0" fontId="7" fillId="0" borderId="21" xfId="0" applyFont="1" applyBorder="1" applyAlignment="1">
      <alignment wrapText="1"/>
    </xf>
    <xf numFmtId="0" fontId="9" fillId="0" borderId="22" xfId="0" applyFont="1" applyFill="1" applyBorder="1" applyAlignment="1">
      <alignment wrapText="1"/>
    </xf>
    <xf numFmtId="0" fontId="9" fillId="0" borderId="0" xfId="58" applyFont="1">
      <alignment/>
      <protection/>
    </xf>
    <xf numFmtId="0" fontId="3" fillId="0" borderId="15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7" fillId="0" borderId="16" xfId="0" applyFont="1" applyBorder="1" applyAlignment="1">
      <alignment wrapText="1"/>
    </xf>
    <xf numFmtId="0" fontId="7" fillId="0" borderId="12" xfId="0" applyFont="1" applyBorder="1" applyAlignment="1">
      <alignment/>
    </xf>
    <xf numFmtId="3" fontId="7" fillId="0" borderId="20" xfId="0" applyNumberFormat="1" applyFont="1" applyFill="1" applyBorder="1" applyAlignment="1">
      <alignment horizontal="right"/>
    </xf>
    <xf numFmtId="0" fontId="17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8" fillId="0" borderId="15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6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4" fillId="0" borderId="26" xfId="0" applyFont="1" applyBorder="1" applyAlignment="1">
      <alignment horizontal="left"/>
    </xf>
    <xf numFmtId="0" fontId="3" fillId="0" borderId="27" xfId="0" applyFont="1" applyBorder="1" applyAlignment="1">
      <alignment/>
    </xf>
    <xf numFmtId="1" fontId="4" fillId="0" borderId="28" xfId="0" applyNumberFormat="1" applyFont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15" xfId="0" applyFont="1" applyBorder="1" applyAlignment="1">
      <alignment horizontal="left"/>
    </xf>
    <xf numFmtId="0" fontId="3" fillId="0" borderId="31" xfId="0" applyFont="1" applyBorder="1" applyAlignment="1">
      <alignment wrapText="1"/>
    </xf>
    <xf numFmtId="1" fontId="4" fillId="0" borderId="11" xfId="0" applyNumberFormat="1" applyFont="1" applyBorder="1" applyAlignment="1">
      <alignment/>
    </xf>
    <xf numFmtId="1" fontId="4" fillId="0" borderId="17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1" fontId="21" fillId="0" borderId="0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0" fontId="3" fillId="0" borderId="32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" fontId="21" fillId="0" borderId="17" xfId="0" applyNumberFormat="1" applyFont="1" applyFill="1" applyBorder="1" applyAlignment="1">
      <alignment/>
    </xf>
    <xf numFmtId="1" fontId="21" fillId="0" borderId="14" xfId="0" applyNumberFormat="1" applyFont="1" applyFill="1" applyBorder="1" applyAlignment="1">
      <alignment/>
    </xf>
    <xf numFmtId="0" fontId="21" fillId="0" borderId="17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3" xfId="0" applyFont="1" applyBorder="1" applyAlignment="1">
      <alignment/>
    </xf>
    <xf numFmtId="0" fontId="3" fillId="0" borderId="31" xfId="0" applyFont="1" applyFill="1" applyBorder="1" applyAlignment="1">
      <alignment wrapText="1"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3" xfId="0" applyFont="1" applyBorder="1" applyAlignment="1">
      <alignment horizontal="left"/>
    </xf>
    <xf numFmtId="0" fontId="3" fillId="0" borderId="34" xfId="0" applyFont="1" applyBorder="1" applyAlignment="1">
      <alignment/>
    </xf>
    <xf numFmtId="1" fontId="4" fillId="0" borderId="35" xfId="0" applyNumberFormat="1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37" xfId="0" applyFont="1" applyBorder="1" applyAlignment="1">
      <alignment/>
    </xf>
    <xf numFmtId="1" fontId="21" fillId="0" borderId="37" xfId="0" applyNumberFormat="1" applyFont="1" applyBorder="1" applyAlignment="1">
      <alignment/>
    </xf>
    <xf numFmtId="0" fontId="21" fillId="0" borderId="38" xfId="0" applyFont="1" applyBorder="1" applyAlignment="1">
      <alignment/>
    </xf>
    <xf numFmtId="0" fontId="4" fillId="0" borderId="24" xfId="0" applyFont="1" applyBorder="1" applyAlignment="1">
      <alignment horizontal="right"/>
    </xf>
    <xf numFmtId="1" fontId="4" fillId="0" borderId="25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2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11" xfId="0" applyFont="1" applyBorder="1" applyAlignment="1">
      <alignment/>
    </xf>
    <xf numFmtId="0" fontId="22" fillId="0" borderId="0" xfId="0" applyFont="1" applyAlignment="1">
      <alignment/>
    </xf>
    <xf numFmtId="1" fontId="3" fillId="0" borderId="31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40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41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3" fillId="0" borderId="44" xfId="0" applyFont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7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3" fillId="0" borderId="32" xfId="0" applyFont="1" applyBorder="1" applyAlignment="1">
      <alignment wrapText="1"/>
    </xf>
    <xf numFmtId="1" fontId="4" fillId="0" borderId="14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1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21" fillId="0" borderId="49" xfId="0" applyFont="1" applyBorder="1" applyAlignment="1">
      <alignment/>
    </xf>
    <xf numFmtId="0" fontId="21" fillId="0" borderId="50" xfId="0" applyFont="1" applyBorder="1" applyAlignment="1">
      <alignment/>
    </xf>
    <xf numFmtId="0" fontId="21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4" fillId="0" borderId="54" xfId="0" applyFont="1" applyBorder="1" applyAlignment="1">
      <alignment horizontal="right"/>
    </xf>
    <xf numFmtId="1" fontId="9" fillId="0" borderId="22" xfId="0" applyNumberFormat="1" applyFont="1" applyBorder="1" applyAlignment="1">
      <alignment/>
    </xf>
    <xf numFmtId="1" fontId="9" fillId="0" borderId="25" xfId="0" applyNumberFormat="1" applyFont="1" applyBorder="1" applyAlignment="1">
      <alignment/>
    </xf>
    <xf numFmtId="1" fontId="9" fillId="0" borderId="2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" fillId="0" borderId="55" xfId="0" applyFont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4" fillId="0" borderId="56" xfId="0" applyFont="1" applyBorder="1" applyAlignment="1">
      <alignment horizontal="left"/>
    </xf>
    <xf numFmtId="0" fontId="3" fillId="0" borderId="57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165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59" xfId="0" applyFont="1" applyBorder="1" applyAlignment="1">
      <alignment/>
    </xf>
    <xf numFmtId="0" fontId="4" fillId="0" borderId="43" xfId="0" applyFont="1" applyFill="1" applyBorder="1" applyAlignment="1">
      <alignment/>
    </xf>
    <xf numFmtId="1" fontId="4" fillId="0" borderId="50" xfId="0" applyNumberFormat="1" applyFont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3" fillId="0" borderId="61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1" xfId="0" applyFont="1" applyFill="1" applyBorder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right" wrapText="1"/>
    </xf>
    <xf numFmtId="0" fontId="3" fillId="0" borderId="57" xfId="0" applyFont="1" applyBorder="1" applyAlignment="1">
      <alignment wrapText="1"/>
    </xf>
    <xf numFmtId="0" fontId="21" fillId="0" borderId="62" xfId="0" applyFont="1" applyBorder="1" applyAlignment="1">
      <alignment/>
    </xf>
    <xf numFmtId="0" fontId="4" fillId="0" borderId="63" xfId="0" applyFont="1" applyBorder="1" applyAlignment="1">
      <alignment/>
    </xf>
    <xf numFmtId="1" fontId="21" fillId="0" borderId="11" xfId="0" applyNumberFormat="1" applyFont="1" applyBorder="1" applyAlignment="1">
      <alignment/>
    </xf>
    <xf numFmtId="0" fontId="21" fillId="0" borderId="35" xfId="0" applyFont="1" applyBorder="1" applyAlignment="1">
      <alignment/>
    </xf>
    <xf numFmtId="0" fontId="4" fillId="0" borderId="24" xfId="0" applyFont="1" applyBorder="1" applyAlignment="1">
      <alignment horizontal="right" wrapText="1"/>
    </xf>
    <xf numFmtId="0" fontId="4" fillId="0" borderId="0" xfId="0" applyFont="1" applyAlignment="1">
      <alignment/>
    </xf>
    <xf numFmtId="0" fontId="3" fillId="0" borderId="64" xfId="0" applyFont="1" applyBorder="1" applyAlignment="1">
      <alignment/>
    </xf>
    <xf numFmtId="0" fontId="3" fillId="0" borderId="22" xfId="0" applyFont="1" applyBorder="1" applyAlignment="1">
      <alignment horizontal="center" wrapText="1"/>
    </xf>
    <xf numFmtId="0" fontId="4" fillId="0" borderId="65" xfId="0" applyFont="1" applyBorder="1" applyAlignment="1">
      <alignment/>
    </xf>
    <xf numFmtId="0" fontId="24" fillId="0" borderId="11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68" xfId="0" applyFont="1" applyBorder="1" applyAlignment="1">
      <alignment/>
    </xf>
    <xf numFmtId="0" fontId="2" fillId="0" borderId="24" xfId="0" applyFont="1" applyBorder="1" applyAlignment="1">
      <alignment horizontal="center" wrapText="1"/>
    </xf>
    <xf numFmtId="0" fontId="4" fillId="0" borderId="69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" fontId="4" fillId="0" borderId="14" xfId="0" applyNumberFormat="1" applyFont="1" applyFill="1" applyBorder="1" applyAlignment="1">
      <alignment/>
    </xf>
    <xf numFmtId="0" fontId="4" fillId="0" borderId="36" xfId="0" applyFont="1" applyBorder="1" applyAlignment="1">
      <alignment horizontal="left"/>
    </xf>
    <xf numFmtId="0" fontId="4" fillId="0" borderId="70" xfId="0" applyFont="1" applyBorder="1" applyAlignment="1">
      <alignment horizontal="left"/>
    </xf>
    <xf numFmtId="0" fontId="4" fillId="0" borderId="7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72" xfId="0" applyFont="1" applyFill="1" applyBorder="1" applyAlignment="1">
      <alignment wrapText="1"/>
    </xf>
    <xf numFmtId="0" fontId="3" fillId="0" borderId="73" xfId="0" applyFont="1" applyBorder="1" applyAlignment="1">
      <alignment/>
    </xf>
    <xf numFmtId="0" fontId="3" fillId="0" borderId="74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62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76" xfId="0" applyFont="1" applyBorder="1" applyAlignment="1">
      <alignment/>
    </xf>
    <xf numFmtId="1" fontId="4" fillId="0" borderId="25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164" fontId="5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0" fontId="3" fillId="0" borderId="77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78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1" fontId="5" fillId="0" borderId="0" xfId="0" applyNumberFormat="1" applyFont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wrapText="1"/>
    </xf>
    <xf numFmtId="1" fontId="4" fillId="0" borderId="50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3" fillId="0" borderId="37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 horizontal="center"/>
    </xf>
    <xf numFmtId="3" fontId="7" fillId="0" borderId="5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8" fillId="0" borderId="0" xfId="0" applyFont="1" applyAlignment="1">
      <alignment wrapText="1"/>
    </xf>
    <xf numFmtId="3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3" fontId="11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28" fillId="0" borderId="0" xfId="0" applyFont="1" applyAlignment="1">
      <alignment wrapText="1"/>
    </xf>
    <xf numFmtId="3" fontId="7" fillId="0" borderId="13" xfId="61" applyNumberFormat="1" applyFont="1" applyFill="1" applyBorder="1">
      <alignment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30" xfId="0" applyFont="1" applyFill="1" applyBorder="1" applyAlignment="1">
      <alignment/>
    </xf>
    <xf numFmtId="0" fontId="3" fillId="0" borderId="15" xfId="0" applyFont="1" applyBorder="1" applyAlignment="1">
      <alignment/>
    </xf>
    <xf numFmtId="0" fontId="26" fillId="0" borderId="0" xfId="0" applyFont="1" applyBorder="1" applyAlignment="1">
      <alignment horizontal="right" wrapText="1"/>
    </xf>
    <xf numFmtId="0" fontId="31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0" fontId="9" fillId="0" borderId="0" xfId="58" applyFont="1" applyAlignment="1">
      <alignment/>
      <protection/>
    </xf>
    <xf numFmtId="0" fontId="10" fillId="0" borderId="0" xfId="58" applyFont="1" applyAlignment="1">
      <alignment/>
      <protection/>
    </xf>
    <xf numFmtId="0" fontId="8" fillId="0" borderId="0" xfId="58" applyFont="1" applyFill="1">
      <alignment/>
      <protection/>
    </xf>
    <xf numFmtId="0" fontId="3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8" fillId="0" borderId="0" xfId="0" applyFont="1" applyAlignment="1">
      <alignment/>
    </xf>
    <xf numFmtId="3" fontId="99" fillId="0" borderId="0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0" fontId="3" fillId="0" borderId="79" xfId="0" applyFont="1" applyFill="1" applyBorder="1" applyAlignment="1">
      <alignment horizontal="left" wrapText="1"/>
    </xf>
    <xf numFmtId="0" fontId="4" fillId="0" borderId="80" xfId="0" applyFont="1" applyBorder="1" applyAlignment="1">
      <alignment horizontal="left"/>
    </xf>
    <xf numFmtId="0" fontId="100" fillId="0" borderId="0" xfId="0" applyFont="1" applyAlignment="1">
      <alignment/>
    </xf>
    <xf numFmtId="0" fontId="100" fillId="0" borderId="0" xfId="0" applyFont="1" applyFill="1" applyAlignment="1">
      <alignment/>
    </xf>
    <xf numFmtId="0" fontId="7" fillId="0" borderId="30" xfId="0" applyFont="1" applyFill="1" applyBorder="1" applyAlignment="1">
      <alignment/>
    </xf>
    <xf numFmtId="0" fontId="3" fillId="0" borderId="81" xfId="0" applyFont="1" applyBorder="1" applyAlignment="1">
      <alignment horizontal="center" wrapText="1"/>
    </xf>
    <xf numFmtId="0" fontId="3" fillId="0" borderId="82" xfId="0" applyFont="1" applyBorder="1" applyAlignment="1">
      <alignment/>
    </xf>
    <xf numFmtId="0" fontId="2" fillId="0" borderId="83" xfId="0" applyFont="1" applyBorder="1" applyAlignment="1">
      <alignment horizontal="center" wrapText="1"/>
    </xf>
    <xf numFmtId="0" fontId="38" fillId="0" borderId="0" xfId="0" applyFont="1" applyFill="1" applyAlignment="1">
      <alignment horizontal="center" wrapText="1"/>
    </xf>
    <xf numFmtId="0" fontId="37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center" wrapText="1"/>
    </xf>
    <xf numFmtId="0" fontId="37" fillId="0" borderId="30" xfId="0" applyFont="1" applyFill="1" applyBorder="1" applyAlignment="1">
      <alignment wrapText="1"/>
    </xf>
    <xf numFmtId="0" fontId="37" fillId="0" borderId="10" xfId="0" applyFont="1" applyFill="1" applyBorder="1" applyAlignment="1">
      <alignment horizontal="right" wrapText="1"/>
    </xf>
    <xf numFmtId="0" fontId="38" fillId="0" borderId="10" xfId="0" applyFont="1" applyFill="1" applyBorder="1" applyAlignment="1">
      <alignment wrapText="1"/>
    </xf>
    <xf numFmtId="3" fontId="0" fillId="0" borderId="30" xfId="56" applyNumberFormat="1" applyFont="1" applyFill="1" applyBorder="1">
      <alignment/>
      <protection/>
    </xf>
    <xf numFmtId="3" fontId="0" fillId="0" borderId="12" xfId="56" applyNumberFormat="1" applyFont="1" applyFill="1" applyBorder="1">
      <alignment/>
      <protection/>
    </xf>
    <xf numFmtId="3" fontId="39" fillId="0" borderId="61" xfId="56" applyNumberFormat="1" applyFont="1" applyFill="1" applyBorder="1">
      <alignment/>
      <protection/>
    </xf>
    <xf numFmtId="3" fontId="0" fillId="0" borderId="0" xfId="56" applyNumberFormat="1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0" fontId="2" fillId="0" borderId="84" xfId="0" applyFont="1" applyFill="1" applyBorder="1" applyAlignment="1">
      <alignment horizontal="center" wrapText="1"/>
    </xf>
    <xf numFmtId="0" fontId="2" fillId="0" borderId="85" xfId="0" applyFont="1" applyFill="1" applyBorder="1" applyAlignment="1">
      <alignment horizontal="center" wrapText="1"/>
    </xf>
    <xf numFmtId="0" fontId="40" fillId="0" borderId="86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3" fontId="7" fillId="0" borderId="39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7" fillId="0" borderId="30" xfId="0" applyFont="1" applyFill="1" applyBorder="1" applyAlignment="1">
      <alignment wrapText="1"/>
    </xf>
    <xf numFmtId="3" fontId="8" fillId="0" borderId="13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3" fontId="98" fillId="0" borderId="0" xfId="0" applyNumberFormat="1" applyFont="1" applyAlignment="1">
      <alignment/>
    </xf>
    <xf numFmtId="3" fontId="40" fillId="0" borderId="86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3" fontId="7" fillId="0" borderId="14" xfId="0" applyNumberFormat="1" applyFont="1" applyBorder="1" applyAlignment="1">
      <alignment/>
    </xf>
    <xf numFmtId="1" fontId="28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0" fontId="39" fillId="0" borderId="11" xfId="0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0" fontId="3" fillId="0" borderId="75" xfId="0" applyFont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3" fontId="3" fillId="35" borderId="10" xfId="56" applyNumberFormat="1" applyFont="1" applyFill="1" applyBorder="1">
      <alignment/>
      <protection/>
    </xf>
    <xf numFmtId="3" fontId="3" fillId="0" borderId="39" xfId="0" applyNumberFormat="1" applyFont="1" applyFill="1" applyBorder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102" fillId="0" borderId="0" xfId="0" applyFont="1" applyFill="1" applyAlignment="1">
      <alignment horizontal="center"/>
    </xf>
    <xf numFmtId="0" fontId="41" fillId="0" borderId="0" xfId="0" applyFont="1" applyAlignment="1">
      <alignment/>
    </xf>
    <xf numFmtId="0" fontId="102" fillId="0" borderId="0" xfId="0" applyFont="1" applyFill="1" applyAlignment="1">
      <alignment/>
    </xf>
    <xf numFmtId="3" fontId="21" fillId="0" borderId="0" xfId="0" applyNumberFormat="1" applyFont="1" applyFill="1" applyBorder="1" applyAlignment="1">
      <alignment/>
    </xf>
    <xf numFmtId="0" fontId="28" fillId="0" borderId="0" xfId="0" applyFont="1" applyAlignment="1">
      <alignment horizontal="right" wrapText="1"/>
    </xf>
    <xf numFmtId="3" fontId="28" fillId="0" borderId="0" xfId="0" applyNumberFormat="1" applyFont="1" applyFill="1" applyAlignment="1">
      <alignment/>
    </xf>
    <xf numFmtId="3" fontId="103" fillId="0" borderId="0" xfId="0" applyNumberFormat="1" applyFont="1" applyFill="1" applyAlignment="1">
      <alignment/>
    </xf>
    <xf numFmtId="0" fontId="43" fillId="0" borderId="0" xfId="0" applyFont="1" applyAlignment="1">
      <alignment/>
    </xf>
    <xf numFmtId="3" fontId="41" fillId="0" borderId="0" xfId="0" applyNumberFormat="1" applyFont="1" applyFill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3" fontId="20" fillId="0" borderId="38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7" fillId="0" borderId="84" xfId="0" applyFont="1" applyFill="1" applyBorder="1" applyAlignment="1">
      <alignment horizontal="center" wrapText="1"/>
    </xf>
    <xf numFmtId="0" fontId="7" fillId="0" borderId="85" xfId="0" applyFont="1" applyFill="1" applyBorder="1" applyAlignment="1">
      <alignment horizontal="center" wrapText="1"/>
    </xf>
    <xf numFmtId="3" fontId="102" fillId="0" borderId="0" xfId="0" applyNumberFormat="1" applyFont="1" applyAlignment="1">
      <alignment/>
    </xf>
    <xf numFmtId="3" fontId="9" fillId="0" borderId="22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 wrapText="1"/>
    </xf>
    <xf numFmtId="3" fontId="9" fillId="0" borderId="18" xfId="0" applyNumberFormat="1" applyFont="1" applyFill="1" applyBorder="1" applyAlignment="1">
      <alignment/>
    </xf>
    <xf numFmtId="3" fontId="8" fillId="0" borderId="87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106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 wrapText="1"/>
    </xf>
    <xf numFmtId="3" fontId="106" fillId="0" borderId="13" xfId="0" applyNumberFormat="1" applyFont="1" applyBorder="1" applyAlignment="1">
      <alignment horizontal="right" vertical="center"/>
    </xf>
    <xf numFmtId="0" fontId="3" fillId="0" borderId="88" xfId="0" applyFont="1" applyBorder="1" applyAlignment="1">
      <alignment wrapText="1"/>
    </xf>
    <xf numFmtId="0" fontId="3" fillId="0" borderId="61" xfId="0" applyFont="1" applyFill="1" applyBorder="1" applyAlignment="1">
      <alignment/>
    </xf>
    <xf numFmtId="3" fontId="3" fillId="34" borderId="89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 horizontal="right" wrapText="1"/>
    </xf>
    <xf numFmtId="0" fontId="0" fillId="0" borderId="0" xfId="0" applyFill="1" applyAlignment="1">
      <alignment/>
    </xf>
    <xf numFmtId="0" fontId="107" fillId="0" borderId="0" xfId="0" applyFont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49" fontId="3" fillId="0" borderId="0" xfId="56" applyNumberFormat="1" applyFont="1">
      <alignment/>
      <protection/>
    </xf>
    <xf numFmtId="49" fontId="3" fillId="0" borderId="0" xfId="56" applyNumberFormat="1" applyFont="1" applyFill="1" applyAlignment="1">
      <alignment horizontal="right"/>
      <protection/>
    </xf>
    <xf numFmtId="49" fontId="3" fillId="0" borderId="0" xfId="56" applyNumberFormat="1" applyFont="1" applyFill="1">
      <alignment/>
      <protection/>
    </xf>
    <xf numFmtId="0" fontId="4" fillId="0" borderId="0" xfId="56" applyFont="1" applyFill="1" applyAlignment="1">
      <alignment/>
      <protection/>
    </xf>
    <xf numFmtId="49" fontId="3" fillId="0" borderId="0" xfId="56" applyNumberFormat="1" applyFont="1" applyFill="1" applyAlignment="1">
      <alignment horizontal="center"/>
      <protection/>
    </xf>
    <xf numFmtId="49" fontId="5" fillId="0" borderId="0" xfId="56" applyNumberFormat="1" applyFont="1" applyFill="1" applyAlignment="1">
      <alignment horizontal="center"/>
      <protection/>
    </xf>
    <xf numFmtId="0" fontId="3" fillId="0" borderId="0" xfId="56" applyFont="1" applyFill="1">
      <alignment/>
      <protection/>
    </xf>
    <xf numFmtId="0" fontId="4" fillId="0" borderId="0" xfId="56" applyFont="1" applyFill="1">
      <alignment/>
      <protection/>
    </xf>
    <xf numFmtId="0" fontId="3" fillId="0" borderId="0" xfId="56" applyFont="1" applyFill="1" applyAlignment="1">
      <alignment horizontal="center"/>
      <protection/>
    </xf>
    <xf numFmtId="49" fontId="3" fillId="0" borderId="90" xfId="56" applyNumberFormat="1" applyFont="1" applyFill="1" applyBorder="1" applyAlignment="1">
      <alignment horizontal="center"/>
      <protection/>
    </xf>
    <xf numFmtId="49" fontId="3" fillId="0" borderId="64" xfId="56" applyNumberFormat="1" applyFont="1" applyFill="1" applyBorder="1" applyAlignment="1">
      <alignment horizontal="center"/>
      <protection/>
    </xf>
    <xf numFmtId="49" fontId="3" fillId="0" borderId="68" xfId="56" applyNumberFormat="1" applyFont="1" applyFill="1" applyBorder="1" applyAlignment="1">
      <alignment horizontal="center"/>
      <protection/>
    </xf>
    <xf numFmtId="49" fontId="3" fillId="0" borderId="56" xfId="56" applyNumberFormat="1" applyFont="1" applyFill="1" applyBorder="1" applyAlignment="1">
      <alignment horizontal="right"/>
      <protection/>
    </xf>
    <xf numFmtId="49" fontId="3" fillId="0" borderId="56" xfId="56" applyNumberFormat="1" applyFont="1" applyFill="1" applyBorder="1" applyAlignment="1">
      <alignment horizontal="center"/>
      <protection/>
    </xf>
    <xf numFmtId="0" fontId="3" fillId="0" borderId="37" xfId="56" applyFont="1" applyFill="1" applyBorder="1" applyAlignment="1">
      <alignment horizontal="center" wrapText="1"/>
      <protection/>
    </xf>
    <xf numFmtId="0" fontId="4" fillId="0" borderId="16" xfId="56" applyFont="1" applyFill="1" applyBorder="1">
      <alignment/>
      <protection/>
    </xf>
    <xf numFmtId="0" fontId="3" fillId="0" borderId="24" xfId="56" applyFont="1" applyFill="1" applyBorder="1" applyAlignment="1">
      <alignment horizontal="center"/>
      <protection/>
    </xf>
    <xf numFmtId="0" fontId="3" fillId="0" borderId="25" xfId="56" applyFont="1" applyFill="1" applyBorder="1" applyAlignment="1">
      <alignment horizontal="center" wrapText="1"/>
      <protection/>
    </xf>
    <xf numFmtId="0" fontId="3" fillId="0" borderId="12" xfId="56" applyFont="1" applyFill="1" applyBorder="1" applyAlignment="1">
      <alignment horizontal="center" wrapText="1"/>
      <protection/>
    </xf>
    <xf numFmtId="0" fontId="3" fillId="0" borderId="76" xfId="56" applyFont="1" applyFill="1" applyBorder="1" applyAlignment="1">
      <alignment horizontal="center" wrapText="1"/>
      <protection/>
    </xf>
    <xf numFmtId="0" fontId="3" fillId="0" borderId="16" xfId="56" applyFont="1" applyFill="1" applyBorder="1" applyAlignment="1">
      <alignment horizontal="center" wrapText="1"/>
      <protection/>
    </xf>
    <xf numFmtId="0" fontId="3" fillId="0" borderId="24" xfId="56" applyFont="1" applyFill="1" applyBorder="1" applyAlignment="1">
      <alignment horizontal="center" wrapText="1"/>
      <protection/>
    </xf>
    <xf numFmtId="0" fontId="3" fillId="35" borderId="12" xfId="56" applyFont="1" applyFill="1" applyBorder="1" applyAlignment="1">
      <alignment horizontal="center" wrapText="1"/>
      <protection/>
    </xf>
    <xf numFmtId="0" fontId="3" fillId="0" borderId="18" xfId="56" applyFont="1" applyFill="1" applyBorder="1" applyAlignment="1">
      <alignment horizontal="center" wrapText="1"/>
      <protection/>
    </xf>
    <xf numFmtId="0" fontId="3" fillId="35" borderId="22" xfId="56" applyFont="1" applyFill="1" applyBorder="1" applyAlignment="1">
      <alignment horizontal="center" wrapText="1"/>
      <protection/>
    </xf>
    <xf numFmtId="0" fontId="3" fillId="0" borderId="30" xfId="56" applyFont="1" applyFill="1" applyBorder="1">
      <alignment/>
      <protection/>
    </xf>
    <xf numFmtId="0" fontId="3" fillId="0" borderId="27" xfId="56" applyFont="1" applyFill="1" applyBorder="1" applyAlignment="1">
      <alignment horizontal="right"/>
      <protection/>
    </xf>
    <xf numFmtId="0" fontId="4" fillId="0" borderId="30" xfId="56" applyFont="1" applyFill="1" applyBorder="1" applyAlignment="1">
      <alignment wrapText="1"/>
      <protection/>
    </xf>
    <xf numFmtId="0" fontId="3" fillId="0" borderId="56" xfId="56" applyFont="1" applyFill="1" applyBorder="1" applyAlignment="1">
      <alignment wrapText="1"/>
      <protection/>
    </xf>
    <xf numFmtId="1" fontId="3" fillId="0" borderId="91" xfId="56" applyNumberFormat="1" applyFont="1" applyFill="1" applyBorder="1" applyAlignment="1">
      <alignment wrapText="1"/>
      <protection/>
    </xf>
    <xf numFmtId="0" fontId="3" fillId="0" borderId="30" xfId="56" applyFont="1" applyFill="1" applyBorder="1" applyAlignment="1">
      <alignment wrapText="1"/>
      <protection/>
    </xf>
    <xf numFmtId="0" fontId="5" fillId="0" borderId="29" xfId="56" applyFont="1" applyFill="1" applyBorder="1" applyAlignment="1">
      <alignment wrapText="1"/>
      <protection/>
    </xf>
    <xf numFmtId="0" fontId="5" fillId="35" borderId="30" xfId="56" applyFont="1" applyFill="1" applyBorder="1" applyAlignment="1">
      <alignment wrapText="1"/>
      <protection/>
    </xf>
    <xf numFmtId="0" fontId="3" fillId="35" borderId="10" xfId="56" applyFont="1" applyFill="1" applyBorder="1">
      <alignment/>
      <protection/>
    </xf>
    <xf numFmtId="0" fontId="3" fillId="0" borderId="10" xfId="56" applyFont="1" applyFill="1" applyBorder="1">
      <alignment/>
      <protection/>
    </xf>
    <xf numFmtId="0" fontId="3" fillId="0" borderId="15" xfId="56" applyFont="1" applyFill="1" applyBorder="1">
      <alignment/>
      <protection/>
    </xf>
    <xf numFmtId="3" fontId="3" fillId="0" borderId="10" xfId="56" applyNumberFormat="1" applyFont="1" applyFill="1" applyBorder="1" applyAlignment="1">
      <alignment wrapText="1"/>
      <protection/>
    </xf>
    <xf numFmtId="3" fontId="3" fillId="0" borderId="17" xfId="56" applyNumberFormat="1" applyFont="1" applyFill="1" applyBorder="1" applyAlignment="1">
      <alignment wrapText="1"/>
      <protection/>
    </xf>
    <xf numFmtId="3" fontId="14" fillId="0" borderId="10" xfId="56" applyNumberFormat="1" applyFont="1" applyFill="1" applyBorder="1" applyAlignment="1">
      <alignment wrapText="1"/>
      <protection/>
    </xf>
    <xf numFmtId="3" fontId="3" fillId="35" borderId="10" xfId="56" applyNumberFormat="1" applyFont="1" applyFill="1" applyBorder="1" applyAlignment="1">
      <alignment wrapText="1"/>
      <protection/>
    </xf>
    <xf numFmtId="3" fontId="3" fillId="0" borderId="10" xfId="56" applyNumberFormat="1" applyFont="1" applyFill="1" applyBorder="1">
      <alignment/>
      <protection/>
    </xf>
    <xf numFmtId="3" fontId="14" fillId="0" borderId="17" xfId="56" applyNumberFormat="1" applyFont="1" applyFill="1" applyBorder="1" applyAlignment="1">
      <alignment wrapText="1"/>
      <protection/>
    </xf>
    <xf numFmtId="3" fontId="3" fillId="35" borderId="30" xfId="56" applyNumberFormat="1" applyFont="1" applyFill="1" applyBorder="1">
      <alignment/>
      <protection/>
    </xf>
    <xf numFmtId="0" fontId="3" fillId="0" borderId="33" xfId="56" applyFont="1" applyFill="1" applyBorder="1">
      <alignment/>
      <protection/>
    </xf>
    <xf numFmtId="3" fontId="14" fillId="0" borderId="37" xfId="56" applyNumberFormat="1" applyFont="1" applyFill="1" applyBorder="1" applyAlignment="1">
      <alignment wrapText="1"/>
      <protection/>
    </xf>
    <xf numFmtId="3" fontId="3" fillId="0" borderId="92" xfId="56" applyNumberFormat="1" applyFont="1" applyFill="1" applyBorder="1" applyAlignment="1">
      <alignment wrapText="1"/>
      <protection/>
    </xf>
    <xf numFmtId="3" fontId="3" fillId="0" borderId="36" xfId="56" applyNumberFormat="1" applyFont="1" applyFill="1" applyBorder="1" applyAlignment="1">
      <alignment wrapText="1"/>
      <protection/>
    </xf>
    <xf numFmtId="3" fontId="3" fillId="0" borderId="37" xfId="56" applyNumberFormat="1" applyFont="1" applyFill="1" applyBorder="1" applyAlignment="1">
      <alignment wrapText="1"/>
      <protection/>
    </xf>
    <xf numFmtId="3" fontId="3" fillId="35" borderId="37" xfId="56" applyNumberFormat="1" applyFont="1" applyFill="1" applyBorder="1" applyAlignment="1">
      <alignment wrapText="1"/>
      <protection/>
    </xf>
    <xf numFmtId="0" fontId="3" fillId="0" borderId="16" xfId="56" applyFont="1" applyFill="1" applyBorder="1">
      <alignment/>
      <protection/>
    </xf>
    <xf numFmtId="0" fontId="4" fillId="0" borderId="24" xfId="56" applyFont="1" applyFill="1" applyBorder="1" applyAlignment="1">
      <alignment horizontal="right"/>
      <protection/>
    </xf>
    <xf numFmtId="0" fontId="3" fillId="0" borderId="88" xfId="56" applyFont="1" applyFill="1" applyBorder="1">
      <alignment/>
      <protection/>
    </xf>
    <xf numFmtId="0" fontId="3" fillId="0" borderId="93" xfId="56" applyFont="1" applyFill="1" applyBorder="1" applyAlignment="1">
      <alignment horizontal="right"/>
      <protection/>
    </xf>
    <xf numFmtId="3" fontId="4" fillId="0" borderId="73" xfId="56" applyNumberFormat="1" applyFont="1" applyFill="1" applyBorder="1" applyAlignment="1">
      <alignment wrapText="1"/>
      <protection/>
    </xf>
    <xf numFmtId="0" fontId="3" fillId="0" borderId="0" xfId="56" applyFont="1" applyFill="1" applyBorder="1">
      <alignment/>
      <protection/>
    </xf>
    <xf numFmtId="0" fontId="3" fillId="0" borderId="0" xfId="56" applyFont="1" applyFill="1" applyAlignment="1">
      <alignment wrapText="1"/>
      <protection/>
    </xf>
    <xf numFmtId="0" fontId="12" fillId="0" borderId="24" xfId="56" applyFont="1" applyFill="1" applyBorder="1" applyAlignment="1">
      <alignment horizontal="center"/>
      <protection/>
    </xf>
    <xf numFmtId="0" fontId="3" fillId="0" borderId="31" xfId="56" applyFont="1" applyFill="1" applyBorder="1">
      <alignment/>
      <protection/>
    </xf>
    <xf numFmtId="3" fontId="3" fillId="0" borderId="49" xfId="56" applyNumberFormat="1" applyFont="1" applyFill="1" applyBorder="1" applyAlignment="1">
      <alignment wrapText="1"/>
      <protection/>
    </xf>
    <xf numFmtId="3" fontId="4" fillId="0" borderId="11" xfId="56" applyNumberFormat="1" applyFont="1" applyFill="1" applyBorder="1" applyAlignment="1">
      <alignment wrapText="1"/>
      <protection/>
    </xf>
    <xf numFmtId="0" fontId="3" fillId="0" borderId="31" xfId="56" applyFont="1" applyFill="1" applyBorder="1" applyAlignment="1">
      <alignment wrapText="1"/>
      <protection/>
    </xf>
    <xf numFmtId="0" fontId="4" fillId="0" borderId="88" xfId="56" applyFont="1" applyFill="1" applyBorder="1">
      <alignment/>
      <protection/>
    </xf>
    <xf numFmtId="0" fontId="4" fillId="0" borderId="93" xfId="56" applyFont="1" applyFill="1" applyBorder="1" applyAlignment="1">
      <alignment horizontal="right"/>
      <protection/>
    </xf>
    <xf numFmtId="0" fontId="3" fillId="0" borderId="37" xfId="56" applyFont="1" applyFill="1" applyBorder="1" applyAlignment="1">
      <alignment horizontal="center" textRotation="90" wrapText="1"/>
      <protection/>
    </xf>
    <xf numFmtId="0" fontId="3" fillId="35" borderId="25" xfId="56" applyFont="1" applyFill="1" applyBorder="1" applyAlignment="1">
      <alignment horizontal="center" wrapText="1"/>
      <protection/>
    </xf>
    <xf numFmtId="0" fontId="3" fillId="0" borderId="34" xfId="56" applyFont="1" applyFill="1" applyBorder="1">
      <alignment/>
      <protection/>
    </xf>
    <xf numFmtId="0" fontId="3" fillId="0" borderId="36" xfId="56" applyFont="1" applyFill="1" applyBorder="1" applyAlignment="1">
      <alignment horizontal="center" textRotation="90" wrapText="1"/>
      <protection/>
    </xf>
    <xf numFmtId="3" fontId="14" fillId="0" borderId="12" xfId="56" applyNumberFormat="1" applyFont="1" applyFill="1" applyBorder="1" applyAlignment="1">
      <alignment wrapText="1"/>
      <protection/>
    </xf>
    <xf numFmtId="3" fontId="14" fillId="0" borderId="76" xfId="56" applyNumberFormat="1" applyFont="1" applyFill="1" applyBorder="1" applyAlignment="1">
      <alignment wrapText="1"/>
      <protection/>
    </xf>
    <xf numFmtId="3" fontId="18" fillId="0" borderId="12" xfId="56" applyNumberFormat="1" applyFont="1" applyFill="1" applyBorder="1" applyAlignment="1">
      <alignment wrapText="1"/>
      <protection/>
    </xf>
    <xf numFmtId="3" fontId="18" fillId="0" borderId="76" xfId="56" applyNumberFormat="1" applyFont="1" applyFill="1" applyBorder="1" applyAlignment="1">
      <alignment wrapText="1"/>
      <protection/>
    </xf>
    <xf numFmtId="3" fontId="4" fillId="0" borderId="25" xfId="56" applyNumberFormat="1" applyFont="1" applyFill="1" applyBorder="1" applyAlignment="1">
      <alignment wrapText="1"/>
      <protection/>
    </xf>
    <xf numFmtId="3" fontId="4" fillId="0" borderId="16" xfId="56" applyNumberFormat="1" applyFont="1" applyFill="1" applyBorder="1" applyAlignment="1">
      <alignment wrapText="1"/>
      <protection/>
    </xf>
    <xf numFmtId="3" fontId="4" fillId="0" borderId="22" xfId="56" applyNumberFormat="1" applyFont="1" applyFill="1" applyBorder="1" applyAlignment="1">
      <alignment wrapText="1"/>
      <protection/>
    </xf>
    <xf numFmtId="3" fontId="4" fillId="0" borderId="20" xfId="56" applyNumberFormat="1" applyFont="1" applyFill="1" applyBorder="1" applyAlignment="1">
      <alignment wrapText="1"/>
      <protection/>
    </xf>
    <xf numFmtId="0" fontId="3" fillId="0" borderId="26" xfId="56" applyFont="1" applyFill="1" applyBorder="1" applyAlignment="1">
      <alignment horizontal="left"/>
      <protection/>
    </xf>
    <xf numFmtId="0" fontId="3" fillId="0" borderId="27" xfId="56" applyFont="1" applyFill="1" applyBorder="1">
      <alignment/>
      <protection/>
    </xf>
    <xf numFmtId="0" fontId="3" fillId="0" borderId="15" xfId="56" applyFont="1" applyFill="1" applyBorder="1" applyAlignment="1">
      <alignment horizontal="left"/>
      <protection/>
    </xf>
    <xf numFmtId="0" fontId="3" fillId="0" borderId="31" xfId="56" applyFont="1" applyBorder="1">
      <alignment/>
      <protection/>
    </xf>
    <xf numFmtId="0" fontId="3" fillId="0" borderId="33" xfId="56" applyFont="1" applyFill="1" applyBorder="1" applyAlignment="1">
      <alignment horizontal="left"/>
      <protection/>
    </xf>
    <xf numFmtId="0" fontId="46" fillId="0" borderId="31" xfId="56" applyFont="1" applyBorder="1">
      <alignment/>
      <protection/>
    </xf>
    <xf numFmtId="0" fontId="46" fillId="0" borderId="34" xfId="56" applyFont="1" applyBorder="1" applyAlignment="1">
      <alignment/>
      <protection/>
    </xf>
    <xf numFmtId="3" fontId="3" fillId="0" borderId="56" xfId="56" applyNumberFormat="1" applyFont="1" applyFill="1" applyBorder="1" applyAlignment="1">
      <alignment wrapText="1"/>
      <protection/>
    </xf>
    <xf numFmtId="3" fontId="3" fillId="35" borderId="56" xfId="56" applyNumberFormat="1" applyFont="1" applyFill="1" applyBorder="1" applyAlignment="1">
      <alignment wrapText="1"/>
      <protection/>
    </xf>
    <xf numFmtId="3" fontId="3" fillId="0" borderId="61" xfId="56" applyNumberFormat="1" applyFont="1" applyFill="1" applyBorder="1" applyAlignment="1">
      <alignment wrapText="1"/>
      <protection/>
    </xf>
    <xf numFmtId="3" fontId="3" fillId="0" borderId="94" xfId="56" applyNumberFormat="1" applyFont="1" applyFill="1" applyBorder="1" applyAlignment="1">
      <alignment wrapText="1"/>
      <protection/>
    </xf>
    <xf numFmtId="0" fontId="3" fillId="0" borderId="0" xfId="56" applyFont="1" applyFill="1" applyBorder="1" applyAlignment="1">
      <alignment horizontal="center"/>
      <protection/>
    </xf>
    <xf numFmtId="0" fontId="3" fillId="0" borderId="79" xfId="56" applyFont="1" applyFill="1" applyBorder="1">
      <alignment/>
      <protection/>
    </xf>
    <xf numFmtId="0" fontId="3" fillId="0" borderId="19" xfId="0" applyFont="1" applyBorder="1" applyAlignment="1">
      <alignment textRotation="90" wrapText="1"/>
    </xf>
    <xf numFmtId="49" fontId="13" fillId="34" borderId="0" xfId="56" applyNumberFormat="1" applyFont="1" applyFill="1">
      <alignment/>
      <protection/>
    </xf>
    <xf numFmtId="49" fontId="13" fillId="0" borderId="0" xfId="56" applyNumberFormat="1" applyFont="1" applyFill="1">
      <alignment/>
      <protection/>
    </xf>
    <xf numFmtId="49" fontId="13" fillId="0" borderId="0" xfId="56" applyNumberFormat="1" applyFont="1">
      <alignment/>
      <protection/>
    </xf>
    <xf numFmtId="49" fontId="13" fillId="0" borderId="0" xfId="56" applyNumberFormat="1" applyFont="1" applyFill="1" applyAlignment="1">
      <alignment horizontal="center"/>
      <protection/>
    </xf>
    <xf numFmtId="0" fontId="16" fillId="0" borderId="0" xfId="56" applyFont="1" applyFill="1" applyAlignment="1">
      <alignment horizontal="center"/>
      <protection/>
    </xf>
    <xf numFmtId="49" fontId="108" fillId="0" borderId="0" xfId="56" applyNumberFormat="1" applyFont="1" applyFill="1" applyAlignment="1">
      <alignment horizontal="center"/>
      <protection/>
    </xf>
    <xf numFmtId="49" fontId="16" fillId="0" borderId="0" xfId="56" applyNumberFormat="1" applyFont="1" applyFill="1" applyAlignment="1">
      <alignment horizontal="center"/>
      <protection/>
    </xf>
    <xf numFmtId="0" fontId="13" fillId="0" borderId="0" xfId="56" applyFont="1" applyFill="1" applyAlignment="1">
      <alignment horizontal="center"/>
      <protection/>
    </xf>
    <xf numFmtId="0" fontId="4" fillId="0" borderId="95" xfId="56" applyFont="1" applyFill="1" applyBorder="1" applyAlignment="1">
      <alignment horizontal="center"/>
      <protection/>
    </xf>
    <xf numFmtId="49" fontId="3" fillId="0" borderId="96" xfId="56" applyNumberFormat="1" applyFont="1" applyFill="1" applyBorder="1" applyAlignment="1">
      <alignment horizontal="center"/>
      <protection/>
    </xf>
    <xf numFmtId="49" fontId="3" fillId="0" borderId="64" xfId="0" applyNumberFormat="1" applyFont="1" applyFill="1" applyBorder="1" applyAlignment="1">
      <alignment horizontal="center"/>
    </xf>
    <xf numFmtId="1" fontId="47" fillId="0" borderId="97" xfId="56" applyNumberFormat="1" applyFont="1" applyFill="1" applyBorder="1" applyAlignment="1">
      <alignment horizontal="center" wrapText="1"/>
      <protection/>
    </xf>
    <xf numFmtId="0" fontId="47" fillId="0" borderId="79" xfId="56" applyFont="1" applyFill="1" applyBorder="1" applyAlignment="1">
      <alignment horizontal="center" wrapText="1"/>
      <protection/>
    </xf>
    <xf numFmtId="0" fontId="3" fillId="0" borderId="93" xfId="56" applyFont="1" applyFill="1" applyBorder="1" applyAlignment="1">
      <alignment horizontal="center"/>
      <protection/>
    </xf>
    <xf numFmtId="0" fontId="2" fillId="0" borderId="73" xfId="56" applyFont="1" applyFill="1" applyBorder="1" applyAlignment="1">
      <alignment horizontal="center" wrapText="1"/>
      <protection/>
    </xf>
    <xf numFmtId="0" fontId="3" fillId="0" borderId="98" xfId="56" applyFont="1" applyFill="1" applyBorder="1">
      <alignment/>
      <protection/>
    </xf>
    <xf numFmtId="3" fontId="3" fillId="0" borderId="30" xfId="56" applyNumberFormat="1" applyFont="1" applyFill="1" applyBorder="1">
      <alignment/>
      <protection/>
    </xf>
    <xf numFmtId="3" fontId="3" fillId="0" borderId="29" xfId="56" applyNumberFormat="1" applyFont="1" applyFill="1" applyBorder="1">
      <alignment/>
      <protection/>
    </xf>
    <xf numFmtId="3" fontId="3" fillId="0" borderId="39" xfId="56" applyNumberFormat="1" applyFont="1" applyFill="1" applyBorder="1">
      <alignment/>
      <protection/>
    </xf>
    <xf numFmtId="0" fontId="3" fillId="0" borderId="50" xfId="56" applyFont="1" applyFill="1" applyBorder="1">
      <alignment/>
      <protection/>
    </xf>
    <xf numFmtId="0" fontId="3" fillId="0" borderId="60" xfId="56" applyFont="1" applyFill="1" applyBorder="1">
      <alignment/>
      <protection/>
    </xf>
    <xf numFmtId="3" fontId="3" fillId="0" borderId="99" xfId="56" applyNumberFormat="1" applyFont="1" applyFill="1" applyBorder="1">
      <alignment/>
      <protection/>
    </xf>
    <xf numFmtId="0" fontId="3" fillId="0" borderId="22" xfId="56" applyFont="1" applyFill="1" applyBorder="1">
      <alignment/>
      <protection/>
    </xf>
    <xf numFmtId="3" fontId="3" fillId="0" borderId="25" xfId="56" applyNumberFormat="1" applyFont="1" applyFill="1" applyBorder="1">
      <alignment/>
      <protection/>
    </xf>
    <xf numFmtId="3" fontId="14" fillId="0" borderId="12" xfId="56" applyNumberFormat="1" applyFont="1" applyFill="1" applyBorder="1">
      <alignment/>
      <protection/>
    </xf>
    <xf numFmtId="3" fontId="14" fillId="0" borderId="24" xfId="56" applyNumberFormat="1" applyFont="1" applyFill="1" applyBorder="1">
      <alignment/>
      <protection/>
    </xf>
    <xf numFmtId="0" fontId="3" fillId="0" borderId="97" xfId="56" applyFont="1" applyFill="1" applyBorder="1">
      <alignment/>
      <protection/>
    </xf>
    <xf numFmtId="3" fontId="4" fillId="0" borderId="73" xfId="56" applyNumberFormat="1" applyFont="1" applyFill="1" applyBorder="1">
      <alignment/>
      <protection/>
    </xf>
    <xf numFmtId="3" fontId="4" fillId="0" borderId="76" xfId="56" applyNumberFormat="1" applyFont="1" applyFill="1" applyBorder="1">
      <alignment/>
      <protection/>
    </xf>
    <xf numFmtId="3" fontId="4" fillId="0" borderId="74" xfId="56" applyNumberFormat="1" applyFont="1" applyFill="1" applyBorder="1">
      <alignment/>
      <protection/>
    </xf>
    <xf numFmtId="3" fontId="3" fillId="0" borderId="0" xfId="56" applyNumberFormat="1" applyFont="1" applyFill="1">
      <alignment/>
      <protection/>
    </xf>
    <xf numFmtId="3" fontId="3" fillId="0" borderId="25" xfId="56" applyNumberFormat="1" applyFont="1" applyFill="1" applyBorder="1" applyAlignment="1">
      <alignment horizontal="center" wrapText="1"/>
      <protection/>
    </xf>
    <xf numFmtId="3" fontId="3" fillId="0" borderId="76" xfId="56" applyNumberFormat="1" applyFont="1" applyFill="1" applyBorder="1" applyAlignment="1">
      <alignment horizontal="center" wrapText="1"/>
      <protection/>
    </xf>
    <xf numFmtId="3" fontId="3" fillId="0" borderId="49" xfId="56" applyNumberFormat="1" applyFont="1" applyFill="1" applyBorder="1">
      <alignment/>
      <protection/>
    </xf>
    <xf numFmtId="3" fontId="3" fillId="0" borderId="17" xfId="56" applyNumberFormat="1" applyFont="1" applyFill="1" applyBorder="1">
      <alignment/>
      <protection/>
    </xf>
    <xf numFmtId="3" fontId="3" fillId="0" borderId="31" xfId="56" applyNumberFormat="1" applyFont="1" applyFill="1" applyBorder="1">
      <alignment/>
      <protection/>
    </xf>
    <xf numFmtId="3" fontId="3" fillId="0" borderId="13" xfId="56" applyNumberFormat="1" applyFont="1" applyFill="1" applyBorder="1">
      <alignment/>
      <protection/>
    </xf>
    <xf numFmtId="3" fontId="4" fillId="0" borderId="11" xfId="56" applyNumberFormat="1" applyFont="1" applyFill="1" applyBorder="1">
      <alignment/>
      <protection/>
    </xf>
    <xf numFmtId="3" fontId="4" fillId="0" borderId="10" xfId="56" applyNumberFormat="1" applyFont="1" applyFill="1" applyBorder="1">
      <alignment/>
      <protection/>
    </xf>
    <xf numFmtId="3" fontId="4" fillId="0" borderId="17" xfId="56" applyNumberFormat="1" applyFont="1" applyFill="1" applyBorder="1">
      <alignment/>
      <protection/>
    </xf>
    <xf numFmtId="3" fontId="4" fillId="0" borderId="31" xfId="56" applyNumberFormat="1" applyFont="1" applyFill="1" applyBorder="1">
      <alignment/>
      <protection/>
    </xf>
    <xf numFmtId="3" fontId="4" fillId="0" borderId="13" xfId="56" applyNumberFormat="1" applyFont="1" applyFill="1" applyBorder="1">
      <alignment/>
      <protection/>
    </xf>
    <xf numFmtId="3" fontId="4" fillId="0" borderId="28" xfId="56" applyNumberFormat="1" applyFont="1" applyFill="1" applyBorder="1">
      <alignment/>
      <protection/>
    </xf>
    <xf numFmtId="3" fontId="4" fillId="0" borderId="36" xfId="56" applyNumberFormat="1" applyFont="1" applyFill="1" applyBorder="1">
      <alignment/>
      <protection/>
    </xf>
    <xf numFmtId="3" fontId="4" fillId="0" borderId="37" xfId="56" applyNumberFormat="1" applyFont="1" applyFill="1" applyBorder="1">
      <alignment/>
      <protection/>
    </xf>
    <xf numFmtId="3" fontId="4" fillId="0" borderId="34" xfId="56" applyNumberFormat="1" applyFont="1" applyFill="1" applyBorder="1">
      <alignment/>
      <protection/>
    </xf>
    <xf numFmtId="3" fontId="4" fillId="0" borderId="38" xfId="56" applyNumberFormat="1" applyFont="1" applyFill="1" applyBorder="1">
      <alignment/>
      <protection/>
    </xf>
    <xf numFmtId="3" fontId="4" fillId="0" borderId="25" xfId="56" applyNumberFormat="1" applyFont="1" applyFill="1" applyBorder="1">
      <alignment/>
      <protection/>
    </xf>
    <xf numFmtId="3" fontId="4" fillId="0" borderId="16" xfId="56" applyNumberFormat="1" applyFont="1" applyFill="1" applyBorder="1">
      <alignment/>
      <protection/>
    </xf>
    <xf numFmtId="3" fontId="4" fillId="0" borderId="12" xfId="56" applyNumberFormat="1" applyFont="1" applyFill="1" applyBorder="1">
      <alignment/>
      <protection/>
    </xf>
    <xf numFmtId="3" fontId="4" fillId="0" borderId="24" xfId="56" applyNumberFormat="1" applyFont="1" applyFill="1" applyBorder="1">
      <alignment/>
      <protection/>
    </xf>
    <xf numFmtId="3" fontId="4" fillId="0" borderId="20" xfId="56" applyNumberFormat="1" applyFont="1" applyFill="1" applyBorder="1">
      <alignment/>
      <protection/>
    </xf>
    <xf numFmtId="0" fontId="3" fillId="0" borderId="61" xfId="56" applyFont="1" applyFill="1" applyBorder="1" applyAlignment="1">
      <alignment horizontal="center" wrapText="1"/>
      <protection/>
    </xf>
    <xf numFmtId="0" fontId="3" fillId="0" borderId="93" xfId="56" applyFont="1" applyFill="1" applyBorder="1" applyAlignment="1">
      <alignment horizontal="center" wrapText="1"/>
      <protection/>
    </xf>
    <xf numFmtId="0" fontId="3" fillId="0" borderId="89" xfId="56" applyFont="1" applyFill="1" applyBorder="1" applyAlignment="1">
      <alignment horizontal="center" wrapText="1"/>
      <protection/>
    </xf>
    <xf numFmtId="0" fontId="7" fillId="0" borderId="88" xfId="56" applyFont="1" applyFill="1" applyBorder="1" applyAlignment="1">
      <alignment horizontal="center" wrapText="1"/>
      <protection/>
    </xf>
    <xf numFmtId="0" fontId="7" fillId="0" borderId="25" xfId="56" applyFont="1" applyFill="1" applyBorder="1" applyAlignment="1">
      <alignment horizontal="center" wrapText="1"/>
      <protection/>
    </xf>
    <xf numFmtId="0" fontId="7" fillId="0" borderId="61" xfId="56" applyFont="1" applyFill="1" applyBorder="1" applyAlignment="1">
      <alignment horizontal="center" wrapText="1"/>
      <protection/>
    </xf>
    <xf numFmtId="0" fontId="7" fillId="0" borderId="93" xfId="56" applyFont="1" applyFill="1" applyBorder="1" applyAlignment="1">
      <alignment horizontal="center" wrapText="1"/>
      <protection/>
    </xf>
    <xf numFmtId="0" fontId="7" fillId="0" borderId="89" xfId="56" applyFont="1" applyFill="1" applyBorder="1" applyAlignment="1">
      <alignment horizontal="center" wrapText="1"/>
      <protection/>
    </xf>
    <xf numFmtId="0" fontId="3" fillId="0" borderId="100" xfId="56" applyFont="1" applyFill="1" applyBorder="1" applyAlignment="1">
      <alignment horizontal="center" textRotation="90" wrapText="1"/>
      <protection/>
    </xf>
    <xf numFmtId="3" fontId="3" fillId="0" borderId="73" xfId="56" applyNumberFormat="1" applyFont="1" applyFill="1" applyBorder="1">
      <alignment/>
      <protection/>
    </xf>
    <xf numFmtId="3" fontId="3" fillId="0" borderId="94" xfId="56" applyNumberFormat="1" applyFont="1" applyFill="1" applyBorder="1">
      <alignment/>
      <protection/>
    </xf>
    <xf numFmtId="3" fontId="3" fillId="0" borderId="89" xfId="56" applyNumberFormat="1" applyFont="1" applyFill="1" applyBorder="1">
      <alignment/>
      <protection/>
    </xf>
    <xf numFmtId="3" fontId="3" fillId="0" borderId="61" xfId="56" applyNumberFormat="1" applyFont="1" applyFill="1" applyBorder="1">
      <alignment/>
      <protection/>
    </xf>
    <xf numFmtId="0" fontId="3" fillId="0" borderId="101" xfId="56" applyFont="1" applyFill="1" applyBorder="1" applyAlignment="1">
      <alignment horizontal="center" textRotation="90" wrapText="1"/>
      <protection/>
    </xf>
    <xf numFmtId="3" fontId="14" fillId="0" borderId="18" xfId="56" applyNumberFormat="1" applyFont="1" applyFill="1" applyBorder="1">
      <alignment/>
      <protection/>
    </xf>
    <xf numFmtId="0" fontId="3" fillId="0" borderId="102" xfId="56" applyFont="1" applyFill="1" applyBorder="1">
      <alignment/>
      <protection/>
    </xf>
    <xf numFmtId="3" fontId="3" fillId="0" borderId="0" xfId="56" applyNumberFormat="1" applyFont="1" applyFill="1" applyBorder="1">
      <alignment/>
      <protection/>
    </xf>
    <xf numFmtId="3" fontId="3" fillId="0" borderId="75" xfId="56" applyNumberFormat="1" applyFont="1" applyFill="1" applyBorder="1">
      <alignment/>
      <protection/>
    </xf>
    <xf numFmtId="3" fontId="4" fillId="0" borderId="18" xfId="56" applyNumberFormat="1" applyFont="1" applyFill="1" applyBorder="1">
      <alignment/>
      <protection/>
    </xf>
    <xf numFmtId="0" fontId="3" fillId="0" borderId="38" xfId="56" applyFont="1" applyFill="1" applyBorder="1" applyAlignment="1">
      <alignment horizontal="center" textRotation="90" wrapText="1"/>
      <protection/>
    </xf>
    <xf numFmtId="0" fontId="5" fillId="0" borderId="39" xfId="56" applyFont="1" applyFill="1" applyBorder="1" applyAlignment="1">
      <alignment wrapText="1"/>
      <protection/>
    </xf>
    <xf numFmtId="3" fontId="3" fillId="0" borderId="13" xfId="56" applyNumberFormat="1" applyFont="1" applyFill="1" applyBorder="1" applyAlignment="1">
      <alignment wrapText="1"/>
      <protection/>
    </xf>
    <xf numFmtId="3" fontId="14" fillId="0" borderId="13" xfId="56" applyNumberFormat="1" applyFont="1" applyFill="1" applyBorder="1" applyAlignment="1">
      <alignment wrapText="1"/>
      <protection/>
    </xf>
    <xf numFmtId="3" fontId="3" fillId="0" borderId="38" xfId="56" applyNumberFormat="1" applyFont="1" applyFill="1" applyBorder="1" applyAlignment="1">
      <alignment wrapText="1"/>
      <protection/>
    </xf>
    <xf numFmtId="3" fontId="14" fillId="0" borderId="18" xfId="56" applyNumberFormat="1" applyFont="1" applyFill="1" applyBorder="1" applyAlignment="1">
      <alignment wrapText="1"/>
      <protection/>
    </xf>
    <xf numFmtId="3" fontId="18" fillId="0" borderId="18" xfId="56" applyNumberFormat="1" applyFont="1" applyFill="1" applyBorder="1" applyAlignment="1">
      <alignment wrapText="1"/>
      <protection/>
    </xf>
    <xf numFmtId="0" fontId="3" fillId="0" borderId="0" xfId="56" applyFont="1" applyFill="1" applyBorder="1" applyAlignment="1">
      <alignment wrapText="1"/>
      <protection/>
    </xf>
    <xf numFmtId="0" fontId="3" fillId="35" borderId="0" xfId="56" applyFont="1" applyFill="1" applyBorder="1">
      <alignment/>
      <protection/>
    </xf>
    <xf numFmtId="3" fontId="3" fillId="0" borderId="103" xfId="56" applyNumberFormat="1" applyFont="1" applyFill="1" applyBorder="1" applyAlignment="1">
      <alignment wrapText="1"/>
      <protection/>
    </xf>
    <xf numFmtId="3" fontId="3" fillId="35" borderId="13" xfId="56" applyNumberFormat="1" applyFont="1" applyFill="1" applyBorder="1" applyAlignment="1">
      <alignment wrapText="1"/>
      <protection/>
    </xf>
    <xf numFmtId="3" fontId="3" fillId="0" borderId="89" xfId="56" applyNumberFormat="1" applyFont="1" applyFill="1" applyBorder="1" applyAlignment="1">
      <alignment wrapText="1"/>
      <protection/>
    </xf>
    <xf numFmtId="0" fontId="3" fillId="0" borderId="103" xfId="56" applyFont="1" applyFill="1" applyBorder="1" applyAlignment="1">
      <alignment horizontal="right"/>
      <protection/>
    </xf>
    <xf numFmtId="0" fontId="3" fillId="0" borderId="58" xfId="56" applyFont="1" applyFill="1" applyBorder="1">
      <alignment/>
      <protection/>
    </xf>
    <xf numFmtId="1" fontId="4" fillId="0" borderId="25" xfId="56" applyNumberFormat="1" applyFont="1" applyFill="1" applyBorder="1">
      <alignment/>
      <protection/>
    </xf>
    <xf numFmtId="1" fontId="3" fillId="0" borderId="20" xfId="56" applyNumberFormat="1" applyFont="1" applyFill="1" applyBorder="1">
      <alignment/>
      <protection/>
    </xf>
    <xf numFmtId="1" fontId="3" fillId="0" borderId="25" xfId="56" applyNumberFormat="1" applyFont="1" applyFill="1" applyBorder="1">
      <alignment/>
      <protection/>
    </xf>
    <xf numFmtId="1" fontId="3" fillId="0" borderId="22" xfId="56" applyNumberFormat="1" applyFont="1" applyFill="1" applyBorder="1">
      <alignment/>
      <protection/>
    </xf>
    <xf numFmtId="1" fontId="3" fillId="0" borderId="18" xfId="56" applyNumberFormat="1" applyFont="1" applyFill="1" applyBorder="1">
      <alignment/>
      <protection/>
    </xf>
    <xf numFmtId="1" fontId="4" fillId="0" borderId="73" xfId="56" applyNumberFormat="1" applyFont="1" applyFill="1" applyBorder="1">
      <alignment/>
      <protection/>
    </xf>
    <xf numFmtId="1" fontId="4" fillId="0" borderId="74" xfId="56" applyNumberFormat="1" applyFont="1" applyFill="1" applyBorder="1">
      <alignment/>
      <protection/>
    </xf>
    <xf numFmtId="1" fontId="4" fillId="0" borderId="97" xfId="56" applyNumberFormat="1" applyFont="1" applyFill="1" applyBorder="1">
      <alignment/>
      <protection/>
    </xf>
    <xf numFmtId="1" fontId="4" fillId="0" borderId="89" xfId="56" applyNumberFormat="1" applyFont="1" applyFill="1" applyBorder="1">
      <alignment/>
      <protection/>
    </xf>
    <xf numFmtId="1" fontId="4" fillId="0" borderId="16" xfId="56" applyNumberFormat="1" applyFont="1" applyFill="1" applyBorder="1">
      <alignment/>
      <protection/>
    </xf>
    <xf numFmtId="1" fontId="4" fillId="0" borderId="12" xfId="56" applyNumberFormat="1" applyFont="1" applyFill="1" applyBorder="1">
      <alignment/>
      <protection/>
    </xf>
    <xf numFmtId="1" fontId="4" fillId="0" borderId="18" xfId="56" applyNumberFormat="1" applyFont="1" applyFill="1" applyBorder="1">
      <alignment/>
      <protection/>
    </xf>
    <xf numFmtId="49" fontId="3" fillId="34" borderId="0" xfId="56" applyNumberFormat="1" applyFont="1" applyFill="1">
      <alignment/>
      <protection/>
    </xf>
    <xf numFmtId="3" fontId="3" fillId="0" borderId="0" xfId="56" applyNumberFormat="1" applyFont="1">
      <alignment/>
      <protection/>
    </xf>
    <xf numFmtId="3" fontId="3" fillId="0" borderId="0" xfId="56" applyNumberFormat="1" applyFont="1" applyFill="1" applyAlignment="1">
      <alignment horizontal="right"/>
      <protection/>
    </xf>
    <xf numFmtId="0" fontId="5" fillId="0" borderId="0" xfId="56" applyFont="1" applyFill="1" applyAlignment="1">
      <alignment horizontal="center"/>
      <protection/>
    </xf>
    <xf numFmtId="49" fontId="4" fillId="0" borderId="104" xfId="56" applyNumberFormat="1" applyFont="1" applyFill="1" applyBorder="1" applyAlignment="1">
      <alignment horizontal="center"/>
      <protection/>
    </xf>
    <xf numFmtId="49" fontId="3" fillId="0" borderId="43" xfId="56" applyNumberFormat="1" applyFont="1" applyFill="1" applyBorder="1" applyAlignment="1">
      <alignment horizontal="center"/>
      <protection/>
    </xf>
    <xf numFmtId="49" fontId="3" fillId="0" borderId="95" xfId="56" applyNumberFormat="1" applyFont="1" applyFill="1" applyBorder="1" applyAlignment="1">
      <alignment horizontal="center"/>
      <protection/>
    </xf>
    <xf numFmtId="1" fontId="4" fillId="0" borderId="102" xfId="56" applyNumberFormat="1" applyFont="1" applyFill="1" applyBorder="1" applyAlignment="1">
      <alignment horizontal="center" wrapText="1"/>
      <protection/>
    </xf>
    <xf numFmtId="0" fontId="4" fillId="0" borderId="0" xfId="56" applyFont="1" applyFill="1" applyBorder="1" applyAlignment="1">
      <alignment horizontal="center" wrapText="1"/>
      <protection/>
    </xf>
    <xf numFmtId="0" fontId="3" fillId="0" borderId="35" xfId="56" applyFont="1" applyFill="1" applyBorder="1" applyAlignment="1">
      <alignment horizontal="center" wrapText="1"/>
      <protection/>
    </xf>
    <xf numFmtId="0" fontId="3" fillId="0" borderId="37" xfId="0" applyFont="1" applyFill="1" applyBorder="1" applyAlignment="1">
      <alignment horizontal="left" textRotation="90" wrapText="1"/>
    </xf>
    <xf numFmtId="0" fontId="3" fillId="0" borderId="100" xfId="0" applyFont="1" applyFill="1" applyBorder="1" applyAlignment="1">
      <alignment horizontal="left" textRotation="90" wrapText="1"/>
    </xf>
    <xf numFmtId="0" fontId="3" fillId="0" borderId="20" xfId="56" applyFont="1" applyFill="1" applyBorder="1" applyAlignment="1">
      <alignment horizontal="center" wrapText="1"/>
      <protection/>
    </xf>
    <xf numFmtId="0" fontId="4" fillId="0" borderId="77" xfId="56" applyFont="1" applyFill="1" applyBorder="1">
      <alignment/>
      <protection/>
    </xf>
    <xf numFmtId="0" fontId="3" fillId="0" borderId="105" xfId="56" applyFont="1" applyFill="1" applyBorder="1" applyAlignment="1">
      <alignment horizontal="right"/>
      <protection/>
    </xf>
    <xf numFmtId="1" fontId="3" fillId="0" borderId="68" xfId="56" applyNumberFormat="1" applyFont="1" applyFill="1" applyBorder="1">
      <alignment/>
      <protection/>
    </xf>
    <xf numFmtId="1" fontId="3" fillId="0" borderId="105" xfId="56" applyNumberFormat="1" applyFont="1" applyFill="1" applyBorder="1">
      <alignment/>
      <protection/>
    </xf>
    <xf numFmtId="1" fontId="3" fillId="0" borderId="64" xfId="56" applyNumberFormat="1" applyFont="1" applyFill="1" applyBorder="1">
      <alignment/>
      <protection/>
    </xf>
    <xf numFmtId="1" fontId="3" fillId="0" borderId="96" xfId="56" applyNumberFormat="1" applyFont="1" applyFill="1" applyBorder="1">
      <alignment/>
      <protection/>
    </xf>
    <xf numFmtId="1" fontId="3" fillId="0" borderId="17" xfId="56" applyNumberFormat="1" applyFont="1" applyFill="1" applyBorder="1">
      <alignment/>
      <protection/>
    </xf>
    <xf numFmtId="1" fontId="3" fillId="0" borderId="10" xfId="56" applyNumberFormat="1" applyFont="1" applyFill="1" applyBorder="1">
      <alignment/>
      <protection/>
    </xf>
    <xf numFmtId="1" fontId="3" fillId="0" borderId="31" xfId="56" applyNumberFormat="1" applyFont="1" applyFill="1" applyBorder="1">
      <alignment/>
      <protection/>
    </xf>
    <xf numFmtId="1" fontId="3" fillId="0" borderId="13" xfId="56" applyNumberFormat="1" applyFont="1" applyFill="1" applyBorder="1">
      <alignment/>
      <protection/>
    </xf>
    <xf numFmtId="0" fontId="4" fillId="0" borderId="15" xfId="56" applyFont="1" applyFill="1" applyBorder="1">
      <alignment/>
      <protection/>
    </xf>
    <xf numFmtId="1" fontId="3" fillId="0" borderId="29" xfId="56" applyNumberFormat="1" applyFont="1" applyFill="1" applyBorder="1">
      <alignment/>
      <protection/>
    </xf>
    <xf numFmtId="1" fontId="3" fillId="0" borderId="30" xfId="56" applyNumberFormat="1" applyFont="1" applyFill="1" applyBorder="1">
      <alignment/>
      <protection/>
    </xf>
    <xf numFmtId="1" fontId="3" fillId="0" borderId="91" xfId="56" applyNumberFormat="1" applyFont="1" applyFill="1" applyBorder="1">
      <alignment/>
      <protection/>
    </xf>
    <xf numFmtId="1" fontId="3" fillId="0" borderId="106" xfId="56" applyNumberFormat="1" applyFont="1" applyFill="1" applyBorder="1">
      <alignment/>
      <protection/>
    </xf>
    <xf numFmtId="1" fontId="3" fillId="0" borderId="27" xfId="56" applyNumberFormat="1" applyFont="1" applyFill="1" applyBorder="1">
      <alignment/>
      <protection/>
    </xf>
    <xf numFmtId="1" fontId="3" fillId="0" borderId="39" xfId="56" applyNumberFormat="1" applyFont="1" applyFill="1" applyBorder="1">
      <alignment/>
      <protection/>
    </xf>
    <xf numFmtId="1" fontId="3" fillId="0" borderId="62" xfId="56" applyNumberFormat="1" applyFont="1" applyFill="1" applyBorder="1">
      <alignment/>
      <protection/>
    </xf>
    <xf numFmtId="1" fontId="3" fillId="0" borderId="0" xfId="56" applyNumberFormat="1" applyFont="1" applyFill="1" applyBorder="1">
      <alignment/>
      <protection/>
    </xf>
    <xf numFmtId="1" fontId="3" fillId="0" borderId="75" xfId="56" applyNumberFormat="1" applyFont="1" applyFill="1" applyBorder="1">
      <alignment/>
      <protection/>
    </xf>
    <xf numFmtId="0" fontId="3" fillId="0" borderId="105" xfId="56" applyFont="1" applyFill="1" applyBorder="1" applyAlignment="1">
      <alignment horizontal="center"/>
      <protection/>
    </xf>
    <xf numFmtId="1" fontId="3" fillId="0" borderId="25" xfId="56" applyNumberFormat="1" applyFont="1" applyFill="1" applyBorder="1" applyAlignment="1">
      <alignment horizontal="center" wrapText="1"/>
      <protection/>
    </xf>
    <xf numFmtId="1" fontId="3" fillId="0" borderId="68" xfId="56" applyNumberFormat="1" applyFont="1" applyFill="1" applyBorder="1" applyAlignment="1">
      <alignment horizontal="center" wrapText="1"/>
      <protection/>
    </xf>
    <xf numFmtId="0" fontId="3" fillId="0" borderId="77" xfId="56" applyFont="1" applyFill="1" applyBorder="1" applyAlignment="1">
      <alignment horizontal="left"/>
      <protection/>
    </xf>
    <xf numFmtId="0" fontId="3" fillId="0" borderId="105" xfId="56" applyFont="1" applyFill="1" applyBorder="1">
      <alignment/>
      <protection/>
    </xf>
    <xf numFmtId="1" fontId="4" fillId="0" borderId="11" xfId="56" applyNumberFormat="1" applyFont="1" applyFill="1" applyBorder="1">
      <alignment/>
      <protection/>
    </xf>
    <xf numFmtId="0" fontId="3" fillId="0" borderId="107" xfId="56" applyFont="1" applyFill="1" applyBorder="1" applyAlignment="1">
      <alignment horizontal="left"/>
      <protection/>
    </xf>
    <xf numFmtId="0" fontId="46" fillId="0" borderId="27" xfId="56" applyFont="1" applyBorder="1">
      <alignment/>
      <protection/>
    </xf>
    <xf numFmtId="1" fontId="3" fillId="0" borderId="73" xfId="56" applyNumberFormat="1" applyFont="1" applyFill="1" applyBorder="1">
      <alignment/>
      <protection/>
    </xf>
    <xf numFmtId="1" fontId="3" fillId="0" borderId="36" xfId="56" applyNumberFormat="1" applyFont="1" applyFill="1" applyBorder="1">
      <alignment/>
      <protection/>
    </xf>
    <xf numFmtId="1" fontId="3" fillId="0" borderId="37" xfId="56" applyNumberFormat="1" applyFont="1" applyFill="1" applyBorder="1">
      <alignment/>
      <protection/>
    </xf>
    <xf numFmtId="1" fontId="3" fillId="0" borderId="38" xfId="56" applyNumberFormat="1" applyFont="1" applyFill="1" applyBorder="1">
      <alignment/>
      <protection/>
    </xf>
    <xf numFmtId="0" fontId="4" fillId="0" borderId="97" xfId="56" applyFont="1" applyFill="1" applyBorder="1" applyAlignment="1">
      <alignment horizontal="right"/>
      <protection/>
    </xf>
    <xf numFmtId="1" fontId="4" fillId="0" borderId="88" xfId="56" applyNumberFormat="1" applyFont="1" applyFill="1" applyBorder="1">
      <alignment/>
      <protection/>
    </xf>
    <xf numFmtId="1" fontId="4" fillId="0" borderId="61" xfId="56" applyNumberFormat="1" applyFont="1" applyFill="1" applyBorder="1">
      <alignment/>
      <protection/>
    </xf>
    <xf numFmtId="0" fontId="3" fillId="0" borderId="0" xfId="56" applyFont="1">
      <alignment/>
      <protection/>
    </xf>
    <xf numFmtId="1" fontId="4" fillId="0" borderId="0" xfId="56" applyNumberFormat="1" applyFont="1" applyFill="1" applyBorder="1">
      <alignment/>
      <protection/>
    </xf>
    <xf numFmtId="1" fontId="3" fillId="0" borderId="0" xfId="56" applyNumberFormat="1" applyFont="1" applyFill="1">
      <alignment/>
      <protection/>
    </xf>
    <xf numFmtId="1" fontId="3" fillId="0" borderId="0" xfId="56" applyNumberFormat="1" applyFont="1" applyFill="1" applyAlignment="1">
      <alignment horizontal="center"/>
      <protection/>
    </xf>
    <xf numFmtId="3" fontId="4" fillId="0" borderId="0" xfId="56" applyNumberFormat="1" applyFont="1" applyFill="1" applyBorder="1">
      <alignment/>
      <protection/>
    </xf>
    <xf numFmtId="49" fontId="4" fillId="0" borderId="0" xfId="56" applyNumberFormat="1" applyFont="1" applyFill="1" applyBorder="1">
      <alignment/>
      <protection/>
    </xf>
    <xf numFmtId="3" fontId="4" fillId="0" borderId="0" xfId="56" applyNumberFormat="1" applyFont="1" applyFill="1">
      <alignment/>
      <protection/>
    </xf>
    <xf numFmtId="1" fontId="4" fillId="0" borderId="28" xfId="56" applyNumberFormat="1" applyFont="1" applyFill="1" applyBorder="1" applyAlignment="1">
      <alignment wrapText="1"/>
      <protection/>
    </xf>
    <xf numFmtId="1" fontId="4" fillId="0" borderId="43" xfId="56" applyNumberFormat="1" applyFont="1" applyFill="1" applyBorder="1">
      <alignment/>
      <protection/>
    </xf>
    <xf numFmtId="1" fontId="4" fillId="0" borderId="28" xfId="56" applyNumberFormat="1" applyFont="1" applyFill="1" applyBorder="1">
      <alignment/>
      <protection/>
    </xf>
    <xf numFmtId="1" fontId="4" fillId="0" borderId="62" xfId="56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0" fontId="4" fillId="0" borderId="40" xfId="0" applyFont="1" applyBorder="1" applyAlignment="1">
      <alignment/>
    </xf>
    <xf numFmtId="0" fontId="45" fillId="0" borderId="42" xfId="0" applyFont="1" applyBorder="1" applyAlignment="1">
      <alignment horizontal="center" wrapText="1"/>
    </xf>
    <xf numFmtId="0" fontId="39" fillId="0" borderId="47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108" xfId="0" applyFont="1" applyBorder="1" applyAlignment="1">
      <alignment/>
    </xf>
    <xf numFmtId="0" fontId="4" fillId="0" borderId="65" xfId="0" applyFont="1" applyFill="1" applyBorder="1" applyAlignment="1">
      <alignment/>
    </xf>
    <xf numFmtId="0" fontId="4" fillId="0" borderId="109" xfId="0" applyFont="1" applyFill="1" applyBorder="1" applyAlignment="1">
      <alignment/>
    </xf>
    <xf numFmtId="0" fontId="4" fillId="0" borderId="110" xfId="0" applyFont="1" applyFill="1" applyBorder="1" applyAlignment="1">
      <alignment/>
    </xf>
    <xf numFmtId="1" fontId="39" fillId="0" borderId="14" xfId="0" applyNumberFormat="1" applyFont="1" applyBorder="1" applyAlignment="1">
      <alignment/>
    </xf>
    <xf numFmtId="0" fontId="39" fillId="0" borderId="14" xfId="0" applyFont="1" applyBorder="1" applyAlignment="1">
      <alignment/>
    </xf>
    <xf numFmtId="0" fontId="4" fillId="0" borderId="99" xfId="0" applyFont="1" applyBorder="1" applyAlignment="1">
      <alignment/>
    </xf>
    <xf numFmtId="0" fontId="4" fillId="0" borderId="102" xfId="0" applyFont="1" applyBorder="1" applyAlignment="1">
      <alignment/>
    </xf>
    <xf numFmtId="0" fontId="48" fillId="0" borderId="0" xfId="0" applyFont="1" applyAlignment="1">
      <alignment wrapText="1"/>
    </xf>
    <xf numFmtId="0" fontId="4" fillId="0" borderId="111" xfId="0" applyFont="1" applyBorder="1" applyAlignment="1">
      <alignment horizontal="left"/>
    </xf>
    <xf numFmtId="1" fontId="4" fillId="0" borderId="112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0" fontId="3" fillId="0" borderId="113" xfId="0" applyFont="1" applyBorder="1" applyAlignment="1">
      <alignment wrapText="1"/>
    </xf>
    <xf numFmtId="1" fontId="4" fillId="0" borderId="0" xfId="0" applyNumberFormat="1" applyFont="1" applyFill="1" applyBorder="1" applyAlignment="1">
      <alignment/>
    </xf>
    <xf numFmtId="1" fontId="4" fillId="0" borderId="114" xfId="0" applyNumberFormat="1" applyFont="1" applyFill="1" applyBorder="1" applyAlignment="1">
      <alignment/>
    </xf>
    <xf numFmtId="1" fontId="4" fillId="0" borderId="115" xfId="0" applyNumberFormat="1" applyFont="1" applyFill="1" applyBorder="1" applyAlignment="1">
      <alignment/>
    </xf>
    <xf numFmtId="1" fontId="4" fillId="0" borderId="116" xfId="0" applyNumberFormat="1" applyFont="1" applyBorder="1" applyAlignment="1">
      <alignment/>
    </xf>
    <xf numFmtId="1" fontId="4" fillId="0" borderId="117" xfId="0" applyNumberFormat="1" applyFont="1" applyFill="1" applyBorder="1" applyAlignment="1">
      <alignment/>
    </xf>
    <xf numFmtId="1" fontId="4" fillId="0" borderId="118" xfId="0" applyNumberFormat="1" applyFont="1" applyFill="1" applyBorder="1" applyAlignment="1">
      <alignment/>
    </xf>
    <xf numFmtId="0" fontId="109" fillId="0" borderId="0" xfId="0" applyFont="1" applyAlignment="1">
      <alignment/>
    </xf>
    <xf numFmtId="0" fontId="109" fillId="0" borderId="0" xfId="0" applyFont="1" applyFill="1" applyAlignment="1">
      <alignment/>
    </xf>
    <xf numFmtId="1" fontId="109" fillId="0" borderId="0" xfId="0" applyNumberFormat="1" applyFont="1" applyFill="1" applyAlignment="1">
      <alignment/>
    </xf>
    <xf numFmtId="1" fontId="109" fillId="0" borderId="0" xfId="0" applyNumberFormat="1" applyFont="1" applyAlignment="1">
      <alignment/>
    </xf>
    <xf numFmtId="0" fontId="109" fillId="0" borderId="0" xfId="0" applyFont="1" applyAlignment="1">
      <alignment wrapText="1"/>
    </xf>
    <xf numFmtId="1" fontId="3" fillId="0" borderId="34" xfId="56" applyNumberFormat="1" applyFont="1" applyFill="1" applyBorder="1">
      <alignment/>
      <protection/>
    </xf>
    <xf numFmtId="0" fontId="3" fillId="0" borderId="100" xfId="56" applyFont="1" applyFill="1" applyBorder="1" applyAlignment="1">
      <alignment horizontal="right" textRotation="90" wrapText="1"/>
      <protection/>
    </xf>
    <xf numFmtId="0" fontId="3" fillId="0" borderId="10" xfId="56" applyFont="1" applyFill="1" applyBorder="1" applyAlignment="1">
      <alignment horizontal="right" textRotation="90" wrapText="1"/>
      <protection/>
    </xf>
    <xf numFmtId="0" fontId="3" fillId="0" borderId="37" xfId="56" applyFont="1" applyBorder="1" applyAlignment="1">
      <alignment horizontal="right" textRotation="90" wrapText="1"/>
      <protection/>
    </xf>
    <xf numFmtId="0" fontId="7" fillId="0" borderId="50" xfId="61" applyFont="1" applyBorder="1" applyAlignment="1">
      <alignment horizontal="left" wrapText="1"/>
      <protection/>
    </xf>
    <xf numFmtId="0" fontId="4" fillId="0" borderId="59" xfId="0" applyFont="1" applyFill="1" applyBorder="1" applyAlignment="1">
      <alignment/>
    </xf>
    <xf numFmtId="0" fontId="21" fillId="0" borderId="0" xfId="0" applyFont="1" applyBorder="1" applyAlignment="1">
      <alignment horizontal="right" wrapText="1"/>
    </xf>
    <xf numFmtId="3" fontId="14" fillId="0" borderId="31" xfId="56" applyNumberFormat="1" applyFont="1" applyFill="1" applyBorder="1">
      <alignment/>
      <protection/>
    </xf>
    <xf numFmtId="0" fontId="21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3" fontId="109" fillId="0" borderId="0" xfId="0" applyNumberFormat="1" applyFont="1" applyBorder="1" applyAlignment="1">
      <alignment/>
    </xf>
    <xf numFmtId="3" fontId="109" fillId="0" borderId="0" xfId="0" applyNumberFormat="1" applyFont="1" applyAlignment="1">
      <alignment/>
    </xf>
    <xf numFmtId="3" fontId="109" fillId="0" borderId="0" xfId="0" applyNumberFormat="1" applyFont="1" applyBorder="1" applyAlignment="1">
      <alignment horizontal="right" wrapText="1"/>
    </xf>
    <xf numFmtId="1" fontId="21" fillId="0" borderId="119" xfId="0" applyNumberFormat="1" applyFont="1" applyFill="1" applyBorder="1" applyAlignment="1">
      <alignment/>
    </xf>
    <xf numFmtId="0" fontId="21" fillId="0" borderId="57" xfId="0" applyFont="1" applyFill="1" applyBorder="1" applyAlignment="1">
      <alignment/>
    </xf>
    <xf numFmtId="1" fontId="21" fillId="0" borderId="103" xfId="0" applyNumberFormat="1" applyFont="1" applyFill="1" applyBorder="1" applyAlignment="1">
      <alignment/>
    </xf>
    <xf numFmtId="1" fontId="21" fillId="0" borderId="57" xfId="0" applyNumberFormat="1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7" fillId="0" borderId="0" xfId="58" applyFont="1" applyAlignment="1">
      <alignment horizontal="left"/>
      <protection/>
    </xf>
    <xf numFmtId="1" fontId="21" fillId="0" borderId="5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0" fontId="21" fillId="35" borderId="11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7" fillId="35" borderId="10" xfId="0" applyFont="1" applyFill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/>
    </xf>
    <xf numFmtId="0" fontId="7" fillId="0" borderId="17" xfId="0" applyFont="1" applyBorder="1" applyAlignment="1">
      <alignment wrapText="1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7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61" applyFont="1" applyBorder="1">
      <alignment/>
      <protection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" fontId="39" fillId="0" borderId="11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 wrapText="1"/>
    </xf>
    <xf numFmtId="1" fontId="39" fillId="0" borderId="47" xfId="0" applyNumberFormat="1" applyFont="1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wrapText="1"/>
    </xf>
    <xf numFmtId="0" fontId="110" fillId="0" borderId="10" xfId="0" applyFont="1" applyFill="1" applyBorder="1" applyAlignment="1">
      <alignment horizontal="center" wrapText="1"/>
    </xf>
    <xf numFmtId="0" fontId="111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right" wrapText="1"/>
    </xf>
    <xf numFmtId="0" fontId="110" fillId="0" borderId="10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 wrapText="1"/>
    </xf>
    <xf numFmtId="0" fontId="49" fillId="0" borderId="31" xfId="0" applyFont="1" applyFill="1" applyBorder="1" applyAlignment="1">
      <alignment horizontal="center" wrapText="1"/>
    </xf>
    <xf numFmtId="0" fontId="112" fillId="0" borderId="10" xfId="0" applyFont="1" applyFill="1" applyBorder="1" applyAlignment="1">
      <alignment/>
    </xf>
    <xf numFmtId="0" fontId="37" fillId="0" borderId="37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52" fillId="0" borderId="1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left" vertical="center" wrapText="1"/>
    </xf>
    <xf numFmtId="0" fontId="107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left" vertical="center" wrapText="1"/>
    </xf>
    <xf numFmtId="0" fontId="52" fillId="0" borderId="31" xfId="0" applyFont="1" applyFill="1" applyBorder="1" applyAlignment="1">
      <alignment horizontal="center" wrapText="1"/>
    </xf>
    <xf numFmtId="3" fontId="2" fillId="0" borderId="18" xfId="0" applyNumberFormat="1" applyFont="1" applyFill="1" applyBorder="1" applyAlignment="1">
      <alignment horizontal="center" wrapText="1"/>
    </xf>
    <xf numFmtId="3" fontId="7" fillId="35" borderId="14" xfId="0" applyNumberFormat="1" applyFont="1" applyFill="1" applyBorder="1" applyAlignment="1">
      <alignment/>
    </xf>
    <xf numFmtId="3" fontId="7" fillId="35" borderId="106" xfId="0" applyNumberFormat="1" applyFont="1" applyFill="1" applyBorder="1" applyAlignment="1">
      <alignment/>
    </xf>
    <xf numFmtId="3" fontId="9" fillId="35" borderId="20" xfId="0" applyNumberFormat="1" applyFont="1" applyFill="1" applyBorder="1" applyAlignment="1">
      <alignment/>
    </xf>
    <xf numFmtId="3" fontId="7" fillId="35" borderId="13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06" fillId="0" borderId="13" xfId="0" applyNumberFormat="1" applyFont="1" applyFill="1" applyBorder="1" applyAlignment="1">
      <alignment horizontal="right" vertical="center" wrapText="1"/>
    </xf>
    <xf numFmtId="3" fontId="3" fillId="35" borderId="13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3" fontId="7" fillId="0" borderId="50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4" fontId="7" fillId="0" borderId="31" xfId="0" applyNumberFormat="1" applyFont="1" applyBorder="1" applyAlignment="1">
      <alignment wrapText="1"/>
    </xf>
    <xf numFmtId="0" fontId="7" fillId="35" borderId="10" xfId="0" applyFont="1" applyFill="1" applyBorder="1" applyAlignment="1">
      <alignment horizontal="left"/>
    </xf>
    <xf numFmtId="3" fontId="8" fillId="0" borderId="39" xfId="0" applyNumberFormat="1" applyFont="1" applyBorder="1" applyAlignment="1">
      <alignment/>
    </xf>
    <xf numFmtId="3" fontId="7" fillId="0" borderId="101" xfId="0" applyNumberFormat="1" applyFont="1" applyFill="1" applyBorder="1" applyAlignment="1">
      <alignment/>
    </xf>
    <xf numFmtId="0" fontId="11" fillId="0" borderId="88" xfId="0" applyFont="1" applyBorder="1" applyAlignment="1">
      <alignment/>
    </xf>
    <xf numFmtId="0" fontId="11" fillId="0" borderId="93" xfId="0" applyFont="1" applyBorder="1" applyAlignment="1">
      <alignment wrapText="1"/>
    </xf>
    <xf numFmtId="3" fontId="11" fillId="0" borderId="101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30" xfId="0" applyFont="1" applyBorder="1" applyAlignment="1">
      <alignment horizontal="right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61" applyFont="1" applyBorder="1" applyAlignment="1">
      <alignment horizontal="left" wrapText="1"/>
      <protection/>
    </xf>
    <xf numFmtId="1" fontId="3" fillId="0" borderId="10" xfId="0" applyNumberFormat="1" applyFont="1" applyBorder="1" applyAlignment="1">
      <alignment/>
    </xf>
    <xf numFmtId="0" fontId="3" fillId="35" borderId="100" xfId="56" applyFont="1" applyFill="1" applyBorder="1" applyAlignment="1">
      <alignment horizontal="center" textRotation="90" wrapText="1"/>
      <protection/>
    </xf>
    <xf numFmtId="0" fontId="3" fillId="0" borderId="61" xfId="56" applyFont="1" applyFill="1" applyBorder="1" applyAlignment="1">
      <alignment horizontal="center" textRotation="90" wrapText="1"/>
      <protection/>
    </xf>
    <xf numFmtId="0" fontId="3" fillId="0" borderId="99" xfId="56" applyFont="1" applyFill="1" applyBorder="1" applyAlignment="1">
      <alignment horizontal="center" textRotation="90" wrapText="1"/>
      <protection/>
    </xf>
    <xf numFmtId="0" fontId="3" fillId="0" borderId="94" xfId="56" applyFont="1" applyFill="1" applyBorder="1" applyAlignment="1">
      <alignment horizontal="center" textRotation="90" wrapText="1"/>
      <protection/>
    </xf>
    <xf numFmtId="0" fontId="3" fillId="34" borderId="61" xfId="56" applyFont="1" applyFill="1" applyBorder="1" applyAlignment="1">
      <alignment horizontal="center" textRotation="90" wrapText="1"/>
      <protection/>
    </xf>
    <xf numFmtId="0" fontId="3" fillId="35" borderId="61" xfId="56" applyFont="1" applyFill="1" applyBorder="1" applyAlignment="1">
      <alignment horizontal="center" textRotation="90" wrapText="1"/>
      <protection/>
    </xf>
    <xf numFmtId="0" fontId="3" fillId="0" borderId="61" xfId="56" applyFont="1" applyFill="1" applyBorder="1" applyAlignment="1">
      <alignment horizontal="right" textRotation="90" wrapText="1"/>
      <protection/>
    </xf>
    <xf numFmtId="0" fontId="3" fillId="0" borderId="89" xfId="56" applyFont="1" applyFill="1" applyBorder="1" applyAlignment="1">
      <alignment horizontal="center" textRotation="90" wrapText="1"/>
      <protection/>
    </xf>
    <xf numFmtId="49" fontId="21" fillId="0" borderId="22" xfId="56" applyNumberFormat="1" applyFont="1" applyFill="1" applyBorder="1" applyAlignment="1">
      <alignment horizontal="center"/>
      <protection/>
    </xf>
    <xf numFmtId="0" fontId="4" fillId="0" borderId="120" xfId="56" applyFont="1" applyFill="1" applyBorder="1" applyAlignment="1">
      <alignment horizontal="center"/>
      <protection/>
    </xf>
    <xf numFmtId="49" fontId="13" fillId="0" borderId="120" xfId="56" applyNumberFormat="1" applyFont="1" applyFill="1" applyBorder="1" applyAlignment="1">
      <alignment horizontal="center"/>
      <protection/>
    </xf>
    <xf numFmtId="49" fontId="3" fillId="0" borderId="120" xfId="56" applyNumberFormat="1" applyFont="1" applyFill="1" applyBorder="1" applyAlignment="1">
      <alignment horizontal="center"/>
      <protection/>
    </xf>
    <xf numFmtId="49" fontId="3" fillId="0" borderId="24" xfId="56" applyNumberFormat="1" applyFont="1" applyFill="1" applyBorder="1" applyAlignment="1">
      <alignment horizontal="center"/>
      <protection/>
    </xf>
    <xf numFmtId="49" fontId="3" fillId="0" borderId="12" xfId="56" applyNumberFormat="1" applyFont="1" applyFill="1" applyBorder="1" applyAlignment="1">
      <alignment horizontal="center"/>
      <protection/>
    </xf>
    <xf numFmtId="49" fontId="3" fillId="0" borderId="12" xfId="0" applyNumberFormat="1" applyFont="1" applyFill="1" applyBorder="1" applyAlignment="1">
      <alignment horizontal="center"/>
    </xf>
    <xf numFmtId="49" fontId="3" fillId="0" borderId="18" xfId="56" applyNumberFormat="1" applyFont="1" applyFill="1" applyBorder="1" applyAlignment="1">
      <alignment horizontal="center"/>
      <protection/>
    </xf>
    <xf numFmtId="0" fontId="3" fillId="0" borderId="37" xfId="56" applyFont="1" applyFill="1" applyBorder="1" applyAlignment="1">
      <alignment horizontal="center" textRotation="90"/>
      <protection/>
    </xf>
    <xf numFmtId="0" fontId="13" fillId="0" borderId="100" xfId="56" applyFont="1" applyBorder="1" applyAlignment="1">
      <alignment horizontal="center" textRotation="90" wrapText="1"/>
      <protection/>
    </xf>
    <xf numFmtId="0" fontId="3" fillId="0" borderId="100" xfId="56" applyFont="1" applyBorder="1" applyAlignment="1">
      <alignment horizontal="center" textRotation="90" wrapText="1"/>
      <protection/>
    </xf>
    <xf numFmtId="3" fontId="4" fillId="0" borderId="10" xfId="56" applyNumberFormat="1" applyFont="1" applyFill="1" applyBorder="1" applyAlignment="1">
      <alignment wrapText="1"/>
      <protection/>
    </xf>
    <xf numFmtId="3" fontId="3" fillId="0" borderId="50" xfId="56" applyNumberFormat="1" applyFont="1" applyBorder="1" applyAlignment="1">
      <alignment wrapText="1"/>
      <protection/>
    </xf>
    <xf numFmtId="3" fontId="4" fillId="35" borderId="10" xfId="56" applyNumberFormat="1" applyFont="1" applyFill="1" applyBorder="1" applyAlignment="1">
      <alignment wrapText="1"/>
      <protection/>
    </xf>
    <xf numFmtId="3" fontId="4" fillId="0" borderId="49" xfId="56" applyNumberFormat="1" applyFont="1" applyFill="1" applyBorder="1" applyAlignment="1">
      <alignment wrapText="1"/>
      <protection/>
    </xf>
    <xf numFmtId="3" fontId="4" fillId="0" borderId="17" xfId="56" applyNumberFormat="1" applyFont="1" applyFill="1" applyBorder="1" applyAlignment="1">
      <alignment wrapText="1"/>
      <protection/>
    </xf>
    <xf numFmtId="3" fontId="3" fillId="0" borderId="57" xfId="56" applyNumberFormat="1" applyFont="1" applyFill="1" applyBorder="1" applyAlignment="1">
      <alignment wrapText="1"/>
      <protection/>
    </xf>
    <xf numFmtId="3" fontId="4" fillId="35" borderId="13" xfId="56" applyNumberFormat="1" applyFont="1" applyFill="1" applyBorder="1" applyAlignment="1">
      <alignment wrapText="1"/>
      <protection/>
    </xf>
    <xf numFmtId="3" fontId="4" fillId="0" borderId="13" xfId="56" applyNumberFormat="1" applyFont="1" applyFill="1" applyBorder="1" applyAlignment="1">
      <alignment wrapText="1"/>
      <protection/>
    </xf>
    <xf numFmtId="0" fontId="14" fillId="0" borderId="100" xfId="61" applyFont="1" applyBorder="1" applyAlignment="1">
      <alignment horizontal="center" textRotation="90" wrapText="1"/>
      <protection/>
    </xf>
    <xf numFmtId="0" fontId="3" fillId="35" borderId="19" xfId="0" applyFont="1" applyFill="1" applyBorder="1" applyAlignment="1">
      <alignment horizontal="center" textRotation="90" wrapText="1"/>
    </xf>
    <xf numFmtId="49" fontId="0" fillId="0" borderId="15" xfId="56" applyNumberFormat="1" applyFont="1" applyBorder="1">
      <alignment/>
      <protection/>
    </xf>
    <xf numFmtId="1" fontId="39" fillId="0" borderId="58" xfId="56" applyNumberFormat="1" applyFont="1" applyBorder="1">
      <alignment/>
      <protection/>
    </xf>
    <xf numFmtId="1" fontId="39" fillId="0" borderId="56" xfId="56" applyNumberFormat="1" applyFont="1" applyBorder="1">
      <alignment/>
      <protection/>
    </xf>
    <xf numFmtId="1" fontId="39" fillId="0" borderId="15" xfId="56" applyNumberFormat="1" applyFont="1" applyBorder="1">
      <alignment/>
      <protection/>
    </xf>
    <xf numFmtId="1" fontId="39" fillId="0" borderId="10" xfId="56" applyNumberFormat="1" applyFont="1" applyBorder="1">
      <alignment/>
      <protection/>
    </xf>
    <xf numFmtId="0" fontId="4" fillId="0" borderId="0" xfId="0" applyFont="1" applyAlignment="1">
      <alignment horizontal="center"/>
    </xf>
    <xf numFmtId="1" fontId="39" fillId="0" borderId="121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30" xfId="0" applyFont="1" applyBorder="1" applyAlignment="1">
      <alignment horizontal="left" vertical="center" wrapText="1"/>
    </xf>
    <xf numFmtId="3" fontId="3" fillId="0" borderId="3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3" fontId="3" fillId="0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3" fontId="3" fillId="35" borderId="10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3" fontId="48" fillId="35" borderId="10" xfId="0" applyNumberFormat="1" applyFont="1" applyFill="1" applyBorder="1" applyAlignment="1">
      <alignment/>
    </xf>
    <xf numFmtId="3" fontId="48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right" wrapText="1"/>
    </xf>
    <xf numFmtId="0" fontId="3" fillId="0" borderId="27" xfId="0" applyFont="1" applyBorder="1" applyAlignment="1">
      <alignment wrapText="1"/>
    </xf>
    <xf numFmtId="3" fontId="3" fillId="0" borderId="2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left" vertical="center" wrapText="1"/>
    </xf>
    <xf numFmtId="3" fontId="3" fillId="0" borderId="3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/>
    </xf>
    <xf numFmtId="0" fontId="3" fillId="0" borderId="37" xfId="0" applyFont="1" applyFill="1" applyBorder="1" applyAlignment="1">
      <alignment vertical="center" wrapText="1"/>
    </xf>
    <xf numFmtId="3" fontId="3" fillId="0" borderId="37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3" fillId="0" borderId="10" xfId="61" applyFont="1" applyBorder="1" applyAlignment="1">
      <alignment wrapText="1"/>
      <protection/>
    </xf>
    <xf numFmtId="0" fontId="3" fillId="0" borderId="10" xfId="61" applyFont="1" applyFill="1" applyBorder="1" applyAlignment="1">
      <alignment wrapText="1"/>
      <protection/>
    </xf>
    <xf numFmtId="0" fontId="3" fillId="0" borderId="72" xfId="61" applyFont="1" applyBorder="1" applyAlignment="1">
      <alignment wrapText="1"/>
      <protection/>
    </xf>
    <xf numFmtId="0" fontId="3" fillId="0" borderId="72" xfId="61" applyFont="1" applyBorder="1" applyAlignment="1">
      <alignment horizontal="left" wrapText="1"/>
      <protection/>
    </xf>
    <xf numFmtId="43" fontId="3" fillId="0" borderId="10" xfId="42" applyFont="1" applyBorder="1" applyAlignment="1">
      <alignment horizontal="left" wrapText="1"/>
    </xf>
    <xf numFmtId="0" fontId="3" fillId="0" borderId="10" xfId="0" applyFont="1" applyBorder="1" applyAlignment="1">
      <alignment horizontal="justify" vertical="center"/>
    </xf>
    <xf numFmtId="3" fontId="3" fillId="0" borderId="37" xfId="0" applyNumberFormat="1" applyFont="1" applyFill="1" applyBorder="1" applyAlignment="1">
      <alignment/>
    </xf>
    <xf numFmtId="3" fontId="3" fillId="35" borderId="37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7" fillId="0" borderId="98" xfId="0" applyFont="1" applyFill="1" applyBorder="1" applyAlignment="1">
      <alignment wrapText="1"/>
    </xf>
    <xf numFmtId="0" fontId="3" fillId="35" borderId="15" xfId="0" applyFont="1" applyFill="1" applyBorder="1" applyAlignment="1">
      <alignment horizontal="left" vertical="center" wrapText="1"/>
    </xf>
    <xf numFmtId="0" fontId="106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35" borderId="30" xfId="56" applyFont="1" applyFill="1" applyBorder="1">
      <alignment/>
      <protection/>
    </xf>
    <xf numFmtId="3" fontId="3" fillId="35" borderId="37" xfId="56" applyNumberFormat="1" applyFont="1" applyFill="1" applyBorder="1">
      <alignment/>
      <protection/>
    </xf>
    <xf numFmtId="0" fontId="3" fillId="0" borderId="37" xfId="0" applyFont="1" applyFill="1" applyBorder="1" applyAlignment="1">
      <alignment horizontal="right" textRotation="90" wrapText="1"/>
    </xf>
    <xf numFmtId="0" fontId="3" fillId="0" borderId="37" xfId="0" applyFont="1" applyFill="1" applyBorder="1" applyAlignment="1">
      <alignment horizontal="center" textRotation="90" wrapText="1"/>
    </xf>
    <xf numFmtId="3" fontId="3" fillId="0" borderId="91" xfId="56" applyNumberFormat="1" applyFont="1" applyFill="1" applyBorder="1">
      <alignment/>
      <protection/>
    </xf>
    <xf numFmtId="3" fontId="3" fillId="0" borderId="27" xfId="56" applyNumberFormat="1" applyFont="1" applyFill="1" applyBorder="1">
      <alignment/>
      <protection/>
    </xf>
    <xf numFmtId="3" fontId="3" fillId="0" borderId="12" xfId="56" applyNumberFormat="1" applyFont="1" applyFill="1" applyBorder="1" applyAlignment="1">
      <alignment horizontal="center" wrapText="1"/>
      <protection/>
    </xf>
    <xf numFmtId="3" fontId="3" fillId="0" borderId="20" xfId="56" applyNumberFormat="1" applyFont="1" applyFill="1" applyBorder="1" applyAlignment="1">
      <alignment horizontal="center" wrapText="1"/>
      <protection/>
    </xf>
    <xf numFmtId="0" fontId="113" fillId="0" borderId="0" xfId="0" applyFont="1" applyAlignment="1">
      <alignment/>
    </xf>
    <xf numFmtId="0" fontId="114" fillId="0" borderId="0" xfId="0" applyFont="1" applyAlignment="1">
      <alignment/>
    </xf>
    <xf numFmtId="0" fontId="3" fillId="0" borderId="31" xfId="57" applyFont="1" applyFill="1" applyBorder="1" applyAlignment="1">
      <alignment horizontal="right" vertical="center" textRotation="90" wrapText="1"/>
      <protection/>
    </xf>
    <xf numFmtId="0" fontId="3" fillId="0" borderId="31" xfId="57" applyFont="1" applyFill="1" applyBorder="1" applyAlignment="1">
      <alignment textRotation="90" wrapText="1"/>
      <protection/>
    </xf>
    <xf numFmtId="0" fontId="3" fillId="0" borderId="31" xfId="57" applyFont="1" applyFill="1" applyBorder="1" applyAlignment="1">
      <alignment horizontal="right" textRotation="90" wrapText="1"/>
      <protection/>
    </xf>
    <xf numFmtId="0" fontId="19" fillId="0" borderId="79" xfId="0" applyFont="1" applyBorder="1" applyAlignment="1">
      <alignment/>
    </xf>
    <xf numFmtId="0" fontId="114" fillId="0" borderId="0" xfId="0" applyFont="1" applyAlignment="1">
      <alignment horizontal="center" wrapText="1"/>
    </xf>
    <xf numFmtId="0" fontId="8" fillId="0" borderId="37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115" fillId="0" borderId="10" xfId="0" applyFont="1" applyFill="1" applyBorder="1" applyAlignment="1">
      <alignment wrapText="1"/>
    </xf>
    <xf numFmtId="3" fontId="8" fillId="0" borderId="39" xfId="0" applyNumberFormat="1" applyFont="1" applyFill="1" applyBorder="1" applyAlignment="1">
      <alignment/>
    </xf>
    <xf numFmtId="3" fontId="7" fillId="0" borderId="102" xfId="0" applyNumberFormat="1" applyFont="1" applyFill="1" applyBorder="1" applyAlignment="1">
      <alignment/>
    </xf>
    <xf numFmtId="3" fontId="10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3" fontId="100" fillId="0" borderId="0" xfId="0" applyNumberFormat="1" applyFont="1" applyFill="1" applyBorder="1" applyAlignment="1">
      <alignment/>
    </xf>
    <xf numFmtId="0" fontId="20" fillId="0" borderId="15" xfId="0" applyFont="1" applyBorder="1" applyAlignment="1">
      <alignment/>
    </xf>
    <xf numFmtId="3" fontId="20" fillId="5" borderId="13" xfId="0" applyNumberFormat="1" applyFont="1" applyFill="1" applyBorder="1" applyAlignment="1">
      <alignment/>
    </xf>
    <xf numFmtId="3" fontId="116" fillId="0" borderId="0" xfId="0" applyNumberFormat="1" applyFont="1" applyFill="1" applyBorder="1" applyAlignment="1">
      <alignment/>
    </xf>
    <xf numFmtId="3" fontId="117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3" xfId="0" applyFont="1" applyFill="1" applyBorder="1" applyAlignment="1">
      <alignment horizontal="left" wrapText="1"/>
    </xf>
    <xf numFmtId="0" fontId="8" fillId="0" borderId="86" xfId="0" applyFont="1" applyFill="1" applyBorder="1" applyAlignment="1">
      <alignment horizontal="center" wrapText="1"/>
    </xf>
    <xf numFmtId="0" fontId="114" fillId="0" borderId="0" xfId="0" applyFont="1" applyFill="1" applyBorder="1" applyAlignment="1">
      <alignment horizontal="center" wrapText="1"/>
    </xf>
    <xf numFmtId="3" fontId="114" fillId="0" borderId="0" xfId="0" applyNumberFormat="1" applyFont="1" applyFill="1" applyBorder="1" applyAlignment="1">
      <alignment/>
    </xf>
    <xf numFmtId="3" fontId="118" fillId="0" borderId="0" xfId="0" applyNumberFormat="1" applyFont="1" applyFill="1" applyBorder="1" applyAlignment="1">
      <alignment/>
    </xf>
    <xf numFmtId="0" fontId="98" fillId="0" borderId="0" xfId="0" applyFont="1" applyFill="1" applyAlignment="1">
      <alignment/>
    </xf>
    <xf numFmtId="0" fontId="3" fillId="35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wrapText="1"/>
    </xf>
    <xf numFmtId="3" fontId="3" fillId="35" borderId="39" xfId="0" applyNumberFormat="1" applyFont="1" applyFill="1" applyBorder="1" applyAlignment="1">
      <alignment/>
    </xf>
    <xf numFmtId="0" fontId="108" fillId="0" borderId="0" xfId="0" applyFont="1" applyAlignment="1">
      <alignment/>
    </xf>
    <xf numFmtId="0" fontId="3" fillId="0" borderId="104" xfId="0" applyFont="1" applyBorder="1" applyAlignment="1">
      <alignment horizontal="center" wrapText="1"/>
    </xf>
    <xf numFmtId="0" fontId="21" fillId="0" borderId="95" xfId="0" applyFont="1" applyBorder="1" applyAlignment="1">
      <alignment/>
    </xf>
    <xf numFmtId="1" fontId="4" fillId="0" borderId="49" xfId="0" applyNumberFormat="1" applyFont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122" xfId="0" applyFont="1" applyBorder="1" applyAlignment="1">
      <alignment/>
    </xf>
    <xf numFmtId="0" fontId="21" fillId="0" borderId="14" xfId="0" applyFont="1" applyFill="1" applyBorder="1" applyAlignment="1">
      <alignment/>
    </xf>
    <xf numFmtId="0" fontId="4" fillId="0" borderId="123" xfId="0" applyFont="1" applyFill="1" applyBorder="1" applyAlignment="1">
      <alignment/>
    </xf>
    <xf numFmtId="0" fontId="21" fillId="0" borderId="73" xfId="0" applyFont="1" applyBorder="1" applyAlignment="1">
      <alignment/>
    </xf>
    <xf numFmtId="0" fontId="3" fillId="0" borderId="34" xfId="0" applyFont="1" applyBorder="1" applyAlignment="1">
      <alignment wrapText="1"/>
    </xf>
    <xf numFmtId="0" fontId="119" fillId="0" borderId="0" xfId="0" applyFont="1" applyFill="1" applyAlignment="1">
      <alignment horizontal="center" wrapText="1"/>
    </xf>
    <xf numFmtId="0" fontId="120" fillId="0" borderId="0" xfId="0" applyFont="1" applyAlignment="1">
      <alignment/>
    </xf>
    <xf numFmtId="0" fontId="121" fillId="0" borderId="0" xfId="0" applyFont="1" applyAlignment="1">
      <alignment/>
    </xf>
    <xf numFmtId="0" fontId="120" fillId="0" borderId="0" xfId="0" applyFont="1" applyFill="1" applyAlignment="1">
      <alignment/>
    </xf>
    <xf numFmtId="0" fontId="122" fillId="0" borderId="0" xfId="0" applyFont="1" applyFill="1" applyAlignment="1">
      <alignment/>
    </xf>
    <xf numFmtId="0" fontId="121" fillId="0" borderId="0" xfId="0" applyFont="1" applyFill="1" applyAlignment="1">
      <alignment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0" fontId="3" fillId="0" borderId="34" xfId="57" applyFont="1" applyFill="1" applyBorder="1" applyAlignment="1">
      <alignment horizontal="right" textRotation="90" wrapText="1"/>
      <protection/>
    </xf>
    <xf numFmtId="0" fontId="112" fillId="0" borderId="0" xfId="0" applyFont="1" applyAlignment="1">
      <alignment/>
    </xf>
    <xf numFmtId="3" fontId="3" fillId="0" borderId="1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63" xfId="0" applyFont="1" applyFill="1" applyBorder="1" applyAlignment="1">
      <alignment/>
    </xf>
    <xf numFmtId="0" fontId="3" fillId="0" borderId="27" xfId="56" applyFont="1" applyFill="1" applyBorder="1" applyAlignment="1">
      <alignment wrapText="1"/>
      <protection/>
    </xf>
    <xf numFmtId="3" fontId="14" fillId="0" borderId="31" xfId="56" applyNumberFormat="1" applyFont="1" applyFill="1" applyBorder="1" applyAlignment="1">
      <alignment wrapText="1"/>
      <protection/>
    </xf>
    <xf numFmtId="3" fontId="14" fillId="0" borderId="34" xfId="56" applyNumberFormat="1" applyFont="1" applyFill="1" applyBorder="1" applyAlignment="1">
      <alignment wrapText="1"/>
      <protection/>
    </xf>
    <xf numFmtId="3" fontId="3" fillId="35" borderId="31" xfId="56" applyNumberFormat="1" applyFont="1" applyFill="1" applyBorder="1" applyAlignment="1">
      <alignment wrapText="1"/>
      <protection/>
    </xf>
    <xf numFmtId="3" fontId="3" fillId="0" borderId="31" xfId="56" applyNumberFormat="1" applyFont="1" applyFill="1" applyBorder="1" applyAlignment="1">
      <alignment wrapText="1"/>
      <protection/>
    </xf>
    <xf numFmtId="3" fontId="4" fillId="0" borderId="31" xfId="56" applyNumberFormat="1" applyFont="1" applyFill="1" applyBorder="1" applyAlignment="1">
      <alignment wrapText="1"/>
      <protection/>
    </xf>
    <xf numFmtId="3" fontId="3" fillId="0" borderId="34" xfId="56" applyNumberFormat="1" applyFont="1" applyFill="1" applyBorder="1" applyAlignment="1">
      <alignment wrapText="1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04" xfId="56" applyFont="1" applyFill="1" applyBorder="1" applyAlignment="1">
      <alignment horizontal="center"/>
      <protection/>
    </xf>
    <xf numFmtId="0" fontId="3" fillId="0" borderId="90" xfId="56" applyFont="1" applyFill="1" applyBorder="1" applyAlignment="1">
      <alignment horizontal="center"/>
      <protection/>
    </xf>
    <xf numFmtId="0" fontId="2" fillId="0" borderId="124" xfId="56" applyFont="1" applyFill="1" applyBorder="1" applyAlignment="1">
      <alignment horizontal="center" vertical="center" wrapText="1"/>
      <protection/>
    </xf>
    <xf numFmtId="0" fontId="2" fillId="0" borderId="125" xfId="56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9" fillId="0" borderId="79" xfId="0" applyFont="1" applyFill="1" applyBorder="1" applyAlignment="1">
      <alignment horizontal="center" wrapText="1"/>
    </xf>
    <xf numFmtId="0" fontId="2" fillId="0" borderId="7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79" xfId="0" applyFont="1" applyBorder="1" applyAlignment="1">
      <alignment horizontal="center"/>
    </xf>
    <xf numFmtId="0" fontId="7" fillId="0" borderId="0" xfId="58" applyFont="1" applyAlignment="1">
      <alignment horizontal="left"/>
      <protection/>
    </xf>
    <xf numFmtId="0" fontId="9" fillId="0" borderId="0" xfId="58" applyFont="1" applyAlignment="1">
      <alignment horizontal="left" vertical="center" wrapText="1"/>
      <protection/>
    </xf>
    <xf numFmtId="0" fontId="10" fillId="0" borderId="0" xfId="58" applyFont="1" applyAlignment="1">
      <alignment horizontal="left"/>
      <protection/>
    </xf>
    <xf numFmtId="0" fontId="4" fillId="0" borderId="0" xfId="0" applyFont="1" applyFill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PROJEKTI_2016_PLĀNS_Aija un Inese" xfId="56"/>
    <cellStyle name="Normal_PROJEKTI_2016_PLĀNS_Aija un Inese 2" xfId="57"/>
    <cellStyle name="Normal_Sporta klubi 2012_081002" xfId="58"/>
    <cellStyle name="Note" xfId="59"/>
    <cellStyle name="Output" xfId="60"/>
    <cellStyle name="Parasts 2" xfId="61"/>
    <cellStyle name="Parasts 3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19" sqref="S19"/>
    </sheetView>
  </sheetViews>
  <sheetFormatPr defaultColWidth="9.140625" defaultRowHeight="12.75"/>
  <cols>
    <col min="1" max="1" width="6.8515625" style="1" customWidth="1"/>
    <col min="2" max="2" width="48.28125" style="1" customWidth="1"/>
    <col min="3" max="3" width="9.7109375" style="1" customWidth="1"/>
    <col min="4" max="4" width="8.421875" style="1" customWidth="1"/>
    <col min="5" max="5" width="9.57421875" style="1" customWidth="1"/>
    <col min="6" max="6" width="9.421875" style="1" customWidth="1"/>
    <col min="7" max="8" width="8.57421875" style="1" customWidth="1"/>
    <col min="9" max="9" width="9.00390625" style="1" customWidth="1"/>
    <col min="10" max="10" width="9.140625" style="1" customWidth="1"/>
    <col min="11" max="11" width="9.8515625" style="1" bestFit="1" customWidth="1"/>
    <col min="12" max="16384" width="9.140625" style="1" customWidth="1"/>
  </cols>
  <sheetData>
    <row r="1" ht="15">
      <c r="B1" s="2" t="s">
        <v>0</v>
      </c>
    </row>
    <row r="3" spans="1:10" ht="15">
      <c r="A3" s="882" t="s">
        <v>120</v>
      </c>
      <c r="B3" s="882"/>
      <c r="C3" s="882"/>
      <c r="I3" s="6"/>
      <c r="J3" s="6"/>
    </row>
    <row r="4" ht="15">
      <c r="B4" s="3" t="s">
        <v>380</v>
      </c>
    </row>
    <row r="5" ht="15">
      <c r="A5" s="3" t="s">
        <v>112</v>
      </c>
    </row>
    <row r="6" spans="1:11" ht="15">
      <c r="A6" s="3"/>
      <c r="D6" s="62" t="s">
        <v>90</v>
      </c>
      <c r="E6" s="62" t="s">
        <v>91</v>
      </c>
      <c r="F6" s="62" t="s">
        <v>92</v>
      </c>
      <c r="G6" s="62" t="s">
        <v>93</v>
      </c>
      <c r="H6" s="62" t="s">
        <v>94</v>
      </c>
      <c r="I6" s="62" t="s">
        <v>95</v>
      </c>
      <c r="J6" s="62" t="s">
        <v>96</v>
      </c>
      <c r="K6" s="62"/>
    </row>
    <row r="7" spans="1:11" ht="15.75" thickBot="1">
      <c r="A7" s="4"/>
      <c r="B7" s="4"/>
      <c r="D7" s="6" t="s">
        <v>1</v>
      </c>
      <c r="E7" s="1" t="s">
        <v>2</v>
      </c>
      <c r="F7" s="1" t="s">
        <v>3</v>
      </c>
      <c r="G7" s="1" t="s">
        <v>4</v>
      </c>
      <c r="H7" s="6" t="s">
        <v>5</v>
      </c>
      <c r="I7" s="1" t="s">
        <v>6</v>
      </c>
      <c r="J7" s="63" t="s">
        <v>75</v>
      </c>
      <c r="K7" s="60"/>
    </row>
    <row r="8" spans="1:10" ht="33.75" customHeight="1" thickBot="1">
      <c r="A8" s="64" t="s">
        <v>7</v>
      </c>
      <c r="B8" s="65" t="s">
        <v>10</v>
      </c>
      <c r="C8" s="66" t="s">
        <v>36</v>
      </c>
      <c r="D8" s="67" t="s">
        <v>379</v>
      </c>
      <c r="E8" s="67" t="s">
        <v>379</v>
      </c>
      <c r="F8" s="67" t="s">
        <v>379</v>
      </c>
      <c r="G8" s="67" t="s">
        <v>379</v>
      </c>
      <c r="H8" s="67" t="s">
        <v>379</v>
      </c>
      <c r="I8" s="67" t="s">
        <v>379</v>
      </c>
      <c r="J8" s="67" t="s">
        <v>379</v>
      </c>
    </row>
    <row r="9" spans="1:10" ht="15">
      <c r="A9" s="68">
        <v>1100</v>
      </c>
      <c r="B9" s="69" t="s">
        <v>11</v>
      </c>
      <c r="C9" s="70">
        <f>SUM(D9:J9)</f>
        <v>2575311</v>
      </c>
      <c r="D9" s="657">
        <f>480403-1000</f>
        <v>479403</v>
      </c>
      <c r="E9" s="658">
        <f>348948-1200</f>
        <v>347748</v>
      </c>
      <c r="F9" s="658">
        <f>367482+1550</f>
        <v>369032</v>
      </c>
      <c r="G9" s="660">
        <v>439196</v>
      </c>
      <c r="H9" s="661">
        <v>222490</v>
      </c>
      <c r="I9" s="661">
        <v>466299</v>
      </c>
      <c r="J9" s="659">
        <v>251143</v>
      </c>
    </row>
    <row r="10" spans="1:12" ht="30">
      <c r="A10" s="73">
        <v>1200</v>
      </c>
      <c r="B10" s="74" t="s">
        <v>12</v>
      </c>
      <c r="C10" s="75">
        <f>SUM(D10:J10)</f>
        <v>810311</v>
      </c>
      <c r="D10" s="663">
        <v>146565</v>
      </c>
      <c r="E10" s="77">
        <v>113438</v>
      </c>
      <c r="F10" s="77">
        <f>113399+994</f>
        <v>114393</v>
      </c>
      <c r="G10" s="77">
        <v>143616</v>
      </c>
      <c r="H10" s="664">
        <v>70516</v>
      </c>
      <c r="I10" s="77">
        <v>142283</v>
      </c>
      <c r="J10" s="211">
        <v>79500</v>
      </c>
      <c r="L10" s="79"/>
    </row>
    <row r="11" spans="1:10" ht="15">
      <c r="A11" s="73">
        <v>2000</v>
      </c>
      <c r="B11" s="80" t="s">
        <v>13</v>
      </c>
      <c r="C11" s="75">
        <f>SUM(C12:C16)</f>
        <v>560617</v>
      </c>
      <c r="D11" s="77">
        <f aca="true" t="shared" si="0" ref="D11:J11">SUM(D12:D16)</f>
        <v>126051</v>
      </c>
      <c r="E11" s="77">
        <f t="shared" si="0"/>
        <v>93296</v>
      </c>
      <c r="F11" s="77">
        <f t="shared" si="0"/>
        <v>69303</v>
      </c>
      <c r="G11" s="77">
        <f t="shared" si="0"/>
        <v>66331</v>
      </c>
      <c r="H11" s="77">
        <f>SUM(H12:H16)</f>
        <v>74370</v>
      </c>
      <c r="I11" s="77">
        <f t="shared" si="0"/>
        <v>93079</v>
      </c>
      <c r="J11" s="78">
        <f t="shared" si="0"/>
        <v>38187</v>
      </c>
    </row>
    <row r="12" spans="1:10" ht="15">
      <c r="A12" s="73">
        <v>2100</v>
      </c>
      <c r="B12" s="80" t="s">
        <v>14</v>
      </c>
      <c r="C12" s="75">
        <f aca="true" t="shared" si="1" ref="C12:C20">SUM(D12:J12)</f>
        <v>0</v>
      </c>
      <c r="D12" s="86"/>
      <c r="E12" s="86"/>
      <c r="F12" s="86"/>
      <c r="G12" s="77"/>
      <c r="H12" s="86"/>
      <c r="I12" s="86"/>
      <c r="J12" s="87"/>
    </row>
    <row r="13" spans="1:10" ht="15">
      <c r="A13" s="73">
        <v>2200</v>
      </c>
      <c r="B13" s="80" t="s">
        <v>15</v>
      </c>
      <c r="C13" s="83">
        <f t="shared" si="1"/>
        <v>397136</v>
      </c>
      <c r="D13" s="86">
        <f>93252-8340</f>
        <v>84912</v>
      </c>
      <c r="E13" s="86">
        <f>64515+1740</f>
        <v>66255</v>
      </c>
      <c r="F13" s="86">
        <f>56429-3800</f>
        <v>52629</v>
      </c>
      <c r="G13" s="77">
        <f>52455+2693</f>
        <v>55148</v>
      </c>
      <c r="H13" s="86">
        <f>48146-6404</f>
        <v>41742</v>
      </c>
      <c r="I13" s="86">
        <f>70045-3080</f>
        <v>66965</v>
      </c>
      <c r="J13" s="87">
        <f>31935-2450</f>
        <v>29485</v>
      </c>
    </row>
    <row r="14" spans="1:10" ht="30">
      <c r="A14" s="73">
        <v>2300</v>
      </c>
      <c r="B14" s="74" t="s">
        <v>16</v>
      </c>
      <c r="C14" s="83">
        <f t="shared" si="1"/>
        <v>163481</v>
      </c>
      <c r="D14" s="86">
        <f>34284+6855</f>
        <v>41139</v>
      </c>
      <c r="E14" s="86">
        <f>24853+2188</f>
        <v>27041</v>
      </c>
      <c r="F14" s="86">
        <f>14574+2100</f>
        <v>16674</v>
      </c>
      <c r="G14" s="77">
        <f>12786-1603</f>
        <v>11183</v>
      </c>
      <c r="H14" s="86">
        <f>31844+784</f>
        <v>32628</v>
      </c>
      <c r="I14" s="86">
        <f>24634+1480</f>
        <v>26114</v>
      </c>
      <c r="J14" s="87">
        <f>8472+230</f>
        <v>8702</v>
      </c>
    </row>
    <row r="15" spans="1:10" ht="15">
      <c r="A15" s="73">
        <v>2400</v>
      </c>
      <c r="B15" s="84" t="s">
        <v>63</v>
      </c>
      <c r="C15" s="83">
        <f t="shared" si="1"/>
        <v>0</v>
      </c>
      <c r="D15" s="86"/>
      <c r="E15" s="86"/>
      <c r="F15" s="86"/>
      <c r="G15" s="77"/>
      <c r="H15" s="86"/>
      <c r="I15" s="86"/>
      <c r="J15" s="87" t="s">
        <v>320</v>
      </c>
    </row>
    <row r="16" spans="1:10" ht="15">
      <c r="A16" s="73">
        <v>2500</v>
      </c>
      <c r="B16" s="80" t="s">
        <v>17</v>
      </c>
      <c r="C16" s="83">
        <f t="shared" si="1"/>
        <v>0</v>
      </c>
      <c r="D16" s="86"/>
      <c r="E16" s="86"/>
      <c r="F16" s="86"/>
      <c r="G16" s="77"/>
      <c r="H16" s="86"/>
      <c r="I16" s="86"/>
      <c r="J16" s="87"/>
    </row>
    <row r="17" spans="1:10" ht="15">
      <c r="A17" s="73">
        <v>4200</v>
      </c>
      <c r="B17" s="80" t="s">
        <v>19</v>
      </c>
      <c r="C17" s="83">
        <f t="shared" si="1"/>
        <v>0</v>
      </c>
      <c r="D17" s="86"/>
      <c r="E17" s="86"/>
      <c r="F17" s="86"/>
      <c r="G17" s="77"/>
      <c r="H17" s="86"/>
      <c r="I17" s="86"/>
      <c r="J17" s="87"/>
    </row>
    <row r="18" spans="1:10" ht="15">
      <c r="A18" s="73">
        <v>4300</v>
      </c>
      <c r="B18" s="80" t="s">
        <v>20</v>
      </c>
      <c r="C18" s="83">
        <f t="shared" si="1"/>
        <v>0</v>
      </c>
      <c r="D18" s="86"/>
      <c r="E18" s="86"/>
      <c r="F18" s="86"/>
      <c r="G18" s="77"/>
      <c r="H18" s="86"/>
      <c r="I18" s="86"/>
      <c r="J18" s="87"/>
    </row>
    <row r="19" spans="1:10" ht="15">
      <c r="A19" s="73">
        <v>5100</v>
      </c>
      <c r="B19" s="80" t="s">
        <v>22</v>
      </c>
      <c r="C19" s="83">
        <f t="shared" si="1"/>
        <v>0</v>
      </c>
      <c r="D19" s="86"/>
      <c r="E19" s="86"/>
      <c r="F19" s="86"/>
      <c r="G19" s="77"/>
      <c r="H19" s="86"/>
      <c r="I19" s="86"/>
      <c r="J19" s="87"/>
    </row>
    <row r="20" spans="1:10" ht="15">
      <c r="A20" s="73">
        <v>5200</v>
      </c>
      <c r="B20" s="80" t="s">
        <v>23</v>
      </c>
      <c r="C20" s="83">
        <f t="shared" si="1"/>
        <v>113504</v>
      </c>
      <c r="D20" s="86">
        <f>4825+2350</f>
        <v>7175</v>
      </c>
      <c r="E20" s="86">
        <f>9637-2728</f>
        <v>6909</v>
      </c>
      <c r="F20" s="86">
        <f>12300+1700</f>
        <v>14000</v>
      </c>
      <c r="G20" s="77">
        <f>2490-1090</f>
        <v>1400</v>
      </c>
      <c r="H20" s="86">
        <f>8721+65827-4070</f>
        <v>70478</v>
      </c>
      <c r="I20" s="86">
        <f>7922+1600</f>
        <v>9522</v>
      </c>
      <c r="J20" s="87">
        <f>1800+2220</f>
        <v>4020</v>
      </c>
    </row>
    <row r="21" spans="1:10" s="3" customFormat="1" ht="15">
      <c r="A21" s="73">
        <v>6000</v>
      </c>
      <c r="B21" s="74" t="s">
        <v>60</v>
      </c>
      <c r="C21" s="83">
        <f>SUM(C22:C24)</f>
        <v>0</v>
      </c>
      <c r="D21" s="88">
        <f aca="true" t="shared" si="2" ref="D21:J21">SUM(D22:D24)</f>
        <v>0</v>
      </c>
      <c r="E21" s="88">
        <f t="shared" si="2"/>
        <v>0</v>
      </c>
      <c r="F21" s="88">
        <f t="shared" si="2"/>
        <v>0</v>
      </c>
      <c r="G21" s="88">
        <f t="shared" si="2"/>
        <v>0</v>
      </c>
      <c r="H21" s="88">
        <f t="shared" si="2"/>
        <v>0</v>
      </c>
      <c r="I21" s="88">
        <f t="shared" si="2"/>
        <v>0</v>
      </c>
      <c r="J21" s="89">
        <f t="shared" si="2"/>
        <v>0</v>
      </c>
    </row>
    <row r="22" spans="1:10" ht="15">
      <c r="A22" s="73">
        <v>6200</v>
      </c>
      <c r="B22" s="80" t="s">
        <v>24</v>
      </c>
      <c r="C22" s="83">
        <f>SUM(D22:J22)</f>
        <v>0</v>
      </c>
      <c r="D22" s="81"/>
      <c r="E22" s="81"/>
      <c r="F22" s="81"/>
      <c r="G22" s="81"/>
      <c r="H22" s="81"/>
      <c r="I22" s="81"/>
      <c r="J22" s="82"/>
    </row>
    <row r="23" spans="1:10" ht="15">
      <c r="A23" s="73">
        <v>6300</v>
      </c>
      <c r="B23" s="74" t="s">
        <v>61</v>
      </c>
      <c r="C23" s="75">
        <f>SUM(D23:J23)</f>
        <v>0</v>
      </c>
      <c r="D23" s="91"/>
      <c r="E23" s="91"/>
      <c r="F23" s="91"/>
      <c r="G23" s="91"/>
      <c r="H23" s="91"/>
      <c r="I23" s="91"/>
      <c r="J23" s="92"/>
    </row>
    <row r="24" spans="1:10" ht="30">
      <c r="A24" s="73">
        <v>6400</v>
      </c>
      <c r="B24" s="93" t="s">
        <v>77</v>
      </c>
      <c r="C24" s="75">
        <f>SUM(D24:J24)</f>
        <v>0</v>
      </c>
      <c r="D24" s="95"/>
      <c r="E24" s="95"/>
      <c r="F24" s="95"/>
      <c r="G24" s="95"/>
      <c r="H24" s="95"/>
      <c r="I24" s="95"/>
      <c r="J24" s="96"/>
    </row>
    <row r="25" spans="1:10" ht="15.75" thickBot="1">
      <c r="A25" s="97">
        <v>7200</v>
      </c>
      <c r="B25" s="98" t="s">
        <v>25</v>
      </c>
      <c r="C25" s="99">
        <f>SUM(D25:J25)</f>
        <v>0</v>
      </c>
      <c r="D25" s="101"/>
      <c r="E25" s="101"/>
      <c r="F25" s="101"/>
      <c r="G25" s="102"/>
      <c r="H25" s="101"/>
      <c r="I25" s="101"/>
      <c r="J25" s="103"/>
    </row>
    <row r="26" spans="1:10" ht="15.75" thickBot="1">
      <c r="A26" s="64"/>
      <c r="B26" s="104" t="s">
        <v>26</v>
      </c>
      <c r="C26" s="105">
        <f>C9+C10+C11+C17+C18+C19+C20+C21+C25</f>
        <v>4059743</v>
      </c>
      <c r="D26" s="105">
        <f aca="true" t="shared" si="3" ref="D26:J26">D9+D10+D11+D17+D18+D19+D20+D21+D25</f>
        <v>759194</v>
      </c>
      <c r="E26" s="105">
        <f t="shared" si="3"/>
        <v>561391</v>
      </c>
      <c r="F26" s="105">
        <f t="shared" si="3"/>
        <v>566728</v>
      </c>
      <c r="G26" s="105">
        <f t="shared" si="3"/>
        <v>650543</v>
      </c>
      <c r="H26" s="105">
        <f>H9+H10+H11+H17+H18+H19+H20+H21+H25</f>
        <v>437854</v>
      </c>
      <c r="I26" s="105">
        <f t="shared" si="3"/>
        <v>711183</v>
      </c>
      <c r="J26" s="105">
        <f t="shared" si="3"/>
        <v>372850</v>
      </c>
    </row>
    <row r="27" spans="1:10" ht="15">
      <c r="A27" s="4"/>
      <c r="B27" s="107" t="s">
        <v>64</v>
      </c>
      <c r="C27" s="7">
        <f>SUM(D27:J27)</f>
        <v>686122</v>
      </c>
      <c r="D27" s="7">
        <f>91116+49270</f>
        <v>140386</v>
      </c>
      <c r="E27" s="110">
        <f>65036+28768</f>
        <v>93804</v>
      </c>
      <c r="F27" s="633">
        <f>79304+48732</f>
        <v>128036</v>
      </c>
      <c r="G27" s="110">
        <f>76976+45964</f>
        <v>122940</v>
      </c>
      <c r="H27" s="110">
        <f>29504+18560</f>
        <v>48064</v>
      </c>
      <c r="I27" s="110">
        <f>72592+35051</f>
        <v>107643</v>
      </c>
      <c r="J27" s="3">
        <f>30040+15209</f>
        <v>45249</v>
      </c>
    </row>
    <row r="28" spans="1:10" ht="15">
      <c r="A28" s="4"/>
      <c r="B28" s="107" t="s">
        <v>65</v>
      </c>
      <c r="C28" s="7">
        <f>SUM(D28:J28)</f>
        <v>8637</v>
      </c>
      <c r="D28" s="7"/>
      <c r="E28" s="110"/>
      <c r="F28" s="633">
        <v>8637</v>
      </c>
      <c r="G28" s="110"/>
      <c r="H28" s="110"/>
      <c r="I28" s="110"/>
      <c r="J28" s="3"/>
    </row>
    <row r="29" spans="1:10" ht="26.25">
      <c r="A29" s="4"/>
      <c r="B29" s="650" t="s">
        <v>377</v>
      </c>
      <c r="C29" s="7">
        <f>SUM(D29:J29)</f>
        <v>3640</v>
      </c>
      <c r="D29" s="7"/>
      <c r="E29" s="110"/>
      <c r="F29" s="110">
        <v>3640</v>
      </c>
      <c r="G29" s="110"/>
      <c r="H29" s="110"/>
      <c r="I29" s="110"/>
      <c r="J29" s="3"/>
    </row>
    <row r="30" spans="1:10" ht="15">
      <c r="A30" s="4"/>
      <c r="B30" s="107" t="s">
        <v>53</v>
      </c>
      <c r="C30" s="110">
        <f>SUM(C26:C29)</f>
        <v>4758142</v>
      </c>
      <c r="D30" s="110">
        <f>D26+D27+D28+D29</f>
        <v>899580</v>
      </c>
      <c r="E30" s="110">
        <f aca="true" t="shared" si="4" ref="E30:J30">E26+E27+E28+E29</f>
        <v>655195</v>
      </c>
      <c r="F30" s="110">
        <f t="shared" si="4"/>
        <v>707041</v>
      </c>
      <c r="G30" s="110">
        <f t="shared" si="4"/>
        <v>773483</v>
      </c>
      <c r="H30" s="110">
        <f t="shared" si="4"/>
        <v>485918</v>
      </c>
      <c r="I30" s="110">
        <f t="shared" si="4"/>
        <v>818826</v>
      </c>
      <c r="J30" s="110">
        <f t="shared" si="4"/>
        <v>418099</v>
      </c>
    </row>
    <row r="31" spans="1:10" ht="15">
      <c r="A31" s="4"/>
      <c r="B31" s="107"/>
      <c r="C31" s="110"/>
      <c r="D31" s="110"/>
      <c r="E31" s="110"/>
      <c r="F31" s="110"/>
      <c r="G31" s="110"/>
      <c r="H31" s="110"/>
      <c r="I31" s="110"/>
      <c r="J31" s="110"/>
    </row>
    <row r="32" spans="1:10" ht="15">
      <c r="A32" s="4"/>
      <c r="B32" s="107"/>
      <c r="C32" s="110"/>
      <c r="D32" s="110"/>
      <c r="E32" s="110"/>
      <c r="F32" s="110"/>
      <c r="G32" s="110"/>
      <c r="H32" s="110"/>
      <c r="I32" s="110"/>
      <c r="J32" s="110"/>
    </row>
    <row r="33" spans="2:4" ht="15">
      <c r="B33" s="8" t="s">
        <v>157</v>
      </c>
      <c r="C33" s="8"/>
      <c r="D33" s="1" t="s">
        <v>43</v>
      </c>
    </row>
    <row r="34" spans="3:10" ht="15">
      <c r="C34" s="639"/>
      <c r="D34" s="639"/>
      <c r="E34" s="639"/>
      <c r="F34" s="639"/>
      <c r="G34" s="639"/>
      <c r="H34" s="639"/>
      <c r="I34" s="639"/>
      <c r="J34" s="639"/>
    </row>
    <row r="35" spans="3:10" ht="15">
      <c r="C35" s="639"/>
      <c r="D35" s="639"/>
      <c r="E35" s="639"/>
      <c r="F35" s="639"/>
      <c r="G35" s="639"/>
      <c r="H35" s="639"/>
      <c r="I35" s="639"/>
      <c r="J35" s="639"/>
    </row>
  </sheetData>
  <sheetProtection/>
  <mergeCells count="1">
    <mergeCell ref="A3:C3"/>
  </mergeCells>
  <printOptions/>
  <pageMargins left="0.15748031496062992" right="0" top="0.3937007874015748" bottom="0.5905511811023623" header="0.31496062992125984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40" sqref="S40"/>
    </sheetView>
  </sheetViews>
  <sheetFormatPr defaultColWidth="9.140625" defaultRowHeight="12.75"/>
  <cols>
    <col min="1" max="1" width="6.421875" style="0" customWidth="1"/>
    <col min="2" max="2" width="41.57421875" style="0" customWidth="1"/>
    <col min="3" max="3" width="11.00390625" style="0" customWidth="1"/>
    <col min="4" max="4" width="9.8515625" style="0" customWidth="1"/>
    <col min="5" max="5" width="8.57421875" style="0" customWidth="1"/>
    <col min="7" max="7" width="10.7109375" style="0" customWidth="1"/>
    <col min="8" max="8" width="10.140625" style="0" bestFit="1" customWidth="1"/>
    <col min="9" max="9" width="10.140625" style="0" customWidth="1"/>
    <col min="10" max="10" width="10.140625" style="0" bestFit="1" customWidth="1"/>
    <col min="11" max="11" width="10.00390625" style="0" customWidth="1"/>
    <col min="12" max="12" width="8.28125" style="0" customWidth="1"/>
    <col min="13" max="13" width="8.421875" style="0" customWidth="1"/>
    <col min="14" max="17" width="8.57421875" style="0" customWidth="1"/>
    <col min="18" max="18" width="9.8515625" style="0" customWidth="1"/>
    <col min="19" max="19" width="8.28125" style="0" customWidth="1"/>
    <col min="255" max="255" width="6.421875" style="0" customWidth="1"/>
    <col min="256" max="16384" width="7.140625" style="0" customWidth="1"/>
  </cols>
  <sheetData>
    <row r="1" spans="1:19" ht="15">
      <c r="A1" s="366"/>
      <c r="B1" s="367" t="s">
        <v>0</v>
      </c>
      <c r="C1" s="368"/>
      <c r="D1" s="455"/>
      <c r="E1" s="455"/>
      <c r="F1" s="455"/>
      <c r="G1" s="456"/>
      <c r="H1" s="456"/>
      <c r="I1" s="456"/>
      <c r="J1" s="456"/>
      <c r="K1" s="456"/>
      <c r="L1" s="456"/>
      <c r="M1" s="456"/>
      <c r="N1" s="456"/>
      <c r="O1" s="457"/>
      <c r="P1" s="457"/>
      <c r="Q1" s="457"/>
      <c r="R1" s="456"/>
      <c r="S1" s="456"/>
    </row>
    <row r="2" spans="1:19" ht="14.25">
      <c r="A2" s="369" t="s">
        <v>302</v>
      </c>
      <c r="B2" s="369"/>
      <c r="C2" s="369"/>
      <c r="D2" s="458"/>
      <c r="E2" s="458"/>
      <c r="F2" s="459"/>
      <c r="G2" s="458"/>
      <c r="H2" s="458"/>
      <c r="I2" s="458"/>
      <c r="J2" s="459"/>
      <c r="K2" s="460"/>
      <c r="L2" s="461"/>
      <c r="M2" s="461"/>
      <c r="N2" s="459"/>
      <c r="O2" s="461"/>
      <c r="P2" s="461"/>
      <c r="Q2" s="461"/>
      <c r="R2" s="459"/>
      <c r="S2" s="459"/>
    </row>
    <row r="3" spans="1:19" ht="15.75" thickBot="1">
      <c r="A3" s="373" t="s">
        <v>380</v>
      </c>
      <c r="B3" s="372"/>
      <c r="C3" s="37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</row>
    <row r="4" spans="1:19" ht="16.5" thickBot="1">
      <c r="A4" s="743"/>
      <c r="B4" s="744" t="s">
        <v>197</v>
      </c>
      <c r="C4" s="745"/>
      <c r="D4" s="746" t="s">
        <v>227</v>
      </c>
      <c r="E4" s="747" t="s">
        <v>313</v>
      </c>
      <c r="F4" s="748" t="s">
        <v>314</v>
      </c>
      <c r="G4" s="748" t="s">
        <v>244</v>
      </c>
      <c r="H4" s="748" t="s">
        <v>194</v>
      </c>
      <c r="I4" s="379" t="s">
        <v>499</v>
      </c>
      <c r="J4" s="748" t="s">
        <v>315</v>
      </c>
      <c r="K4" s="746" t="s">
        <v>316</v>
      </c>
      <c r="L4" s="749" t="s">
        <v>228</v>
      </c>
      <c r="M4" s="748" t="s">
        <v>265</v>
      </c>
      <c r="N4" s="748" t="s">
        <v>317</v>
      </c>
      <c r="O4" s="748" t="s">
        <v>369</v>
      </c>
      <c r="P4" s="748" t="s">
        <v>533</v>
      </c>
      <c r="Q4" s="748" t="s">
        <v>534</v>
      </c>
      <c r="R4" s="748" t="s">
        <v>195</v>
      </c>
      <c r="S4" s="750" t="s">
        <v>318</v>
      </c>
    </row>
    <row r="5" spans="1:19" ht="407.25" thickBot="1">
      <c r="A5" s="466"/>
      <c r="B5" s="467"/>
      <c r="C5" s="507" t="s">
        <v>131</v>
      </c>
      <c r="D5" s="736" t="s">
        <v>562</v>
      </c>
      <c r="E5" s="737" t="s">
        <v>563</v>
      </c>
      <c r="F5" s="736" t="s">
        <v>319</v>
      </c>
      <c r="G5" s="738" t="s">
        <v>229</v>
      </c>
      <c r="H5" s="739" t="s">
        <v>564</v>
      </c>
      <c r="I5" s="515" t="s">
        <v>575</v>
      </c>
      <c r="J5" s="736" t="s">
        <v>565</v>
      </c>
      <c r="K5" s="736" t="s">
        <v>566</v>
      </c>
      <c r="L5" s="736" t="s">
        <v>230</v>
      </c>
      <c r="M5" s="736" t="s">
        <v>567</v>
      </c>
      <c r="N5" s="740" t="s">
        <v>497</v>
      </c>
      <c r="O5" s="741" t="s">
        <v>374</v>
      </c>
      <c r="P5" s="646" t="s">
        <v>568</v>
      </c>
      <c r="Q5" s="646" t="s">
        <v>535</v>
      </c>
      <c r="R5" s="736" t="s">
        <v>569</v>
      </c>
      <c r="S5" s="742" t="s">
        <v>266</v>
      </c>
    </row>
    <row r="6" spans="1:19" ht="19.5" thickBot="1">
      <c r="A6" s="481" t="s">
        <v>7</v>
      </c>
      <c r="B6" s="468" t="s">
        <v>8</v>
      </c>
      <c r="C6" s="469" t="s">
        <v>30</v>
      </c>
      <c r="D6" s="510" t="s">
        <v>263</v>
      </c>
      <c r="E6" s="511" t="s">
        <v>263</v>
      </c>
      <c r="F6" s="512" t="s">
        <v>263</v>
      </c>
      <c r="G6" s="512" t="s">
        <v>263</v>
      </c>
      <c r="H6" s="512" t="s">
        <v>263</v>
      </c>
      <c r="I6" s="390" t="s">
        <v>263</v>
      </c>
      <c r="J6" s="512" t="s">
        <v>263</v>
      </c>
      <c r="K6" s="513" t="s">
        <v>263</v>
      </c>
      <c r="L6" s="512" t="s">
        <v>263</v>
      </c>
      <c r="M6" s="512" t="s">
        <v>263</v>
      </c>
      <c r="N6" s="512" t="s">
        <v>263</v>
      </c>
      <c r="O6" s="512" t="s">
        <v>263</v>
      </c>
      <c r="P6" s="512" t="s">
        <v>263</v>
      </c>
      <c r="Q6" s="512" t="s">
        <v>263</v>
      </c>
      <c r="R6" s="512" t="s">
        <v>263</v>
      </c>
      <c r="S6" s="514" t="s">
        <v>263</v>
      </c>
    </row>
    <row r="7" spans="1:19" ht="15">
      <c r="A7" s="470"/>
      <c r="B7" s="392" t="s">
        <v>221</v>
      </c>
      <c r="C7" s="497">
        <f aca="true" t="shared" si="0" ref="C7:C12">SUM(D7:S7)</f>
        <v>3279167</v>
      </c>
      <c r="D7" s="408">
        <v>318389</v>
      </c>
      <c r="E7" s="472"/>
      <c r="F7" s="471"/>
      <c r="G7" s="472">
        <v>403774</v>
      </c>
      <c r="H7" s="471"/>
      <c r="I7" s="399"/>
      <c r="J7" s="471">
        <v>2500000</v>
      </c>
      <c r="K7" s="471"/>
      <c r="L7" s="471">
        <v>15194</v>
      </c>
      <c r="M7" s="471">
        <v>10865</v>
      </c>
      <c r="N7" s="471">
        <v>15675</v>
      </c>
      <c r="O7" s="303">
        <v>1800</v>
      </c>
      <c r="P7" s="303"/>
      <c r="Q7" s="303"/>
      <c r="R7" s="471">
        <v>13470</v>
      </c>
      <c r="S7" s="473"/>
    </row>
    <row r="8" spans="1:19" ht="15">
      <c r="A8" s="474"/>
      <c r="B8" s="423" t="s">
        <v>222</v>
      </c>
      <c r="C8" s="497">
        <f t="shared" si="0"/>
        <v>2245039</v>
      </c>
      <c r="D8" s="408">
        <f>566778+5983</f>
        <v>572761</v>
      </c>
      <c r="E8" s="472">
        <v>80830</v>
      </c>
      <c r="F8" s="471">
        <v>16199</v>
      </c>
      <c r="G8" s="472">
        <v>157151</v>
      </c>
      <c r="H8" s="471">
        <f>74179+5798</f>
        <v>79977</v>
      </c>
      <c r="I8" s="406">
        <f>1007246-528208</f>
        <v>479038</v>
      </c>
      <c r="J8" s="471">
        <f>463732+9770</f>
        <v>473502</v>
      </c>
      <c r="K8" s="471">
        <f>27181+10361</f>
        <v>37542</v>
      </c>
      <c r="L8" s="471"/>
      <c r="M8" s="471">
        <f>21593-369</f>
        <v>21224</v>
      </c>
      <c r="N8" s="471">
        <v>8793</v>
      </c>
      <c r="O8" s="303">
        <f>44875+12294</f>
        <v>57169</v>
      </c>
      <c r="P8" s="303">
        <v>51750</v>
      </c>
      <c r="Q8" s="303">
        <v>2600</v>
      </c>
      <c r="R8" s="471">
        <v>59515</v>
      </c>
      <c r="S8" s="473">
        <v>146988</v>
      </c>
    </row>
    <row r="9" spans="1:19" ht="15">
      <c r="A9" s="474"/>
      <c r="B9" s="423" t="s">
        <v>69</v>
      </c>
      <c r="C9" s="497">
        <f t="shared" si="0"/>
        <v>3470655</v>
      </c>
      <c r="D9" s="408">
        <v>2213700</v>
      </c>
      <c r="E9" s="472"/>
      <c r="F9" s="471">
        <v>91796</v>
      </c>
      <c r="G9" s="472">
        <v>260000</v>
      </c>
      <c r="H9" s="471"/>
      <c r="I9" s="651">
        <v>17659</v>
      </c>
      <c r="J9" s="471"/>
      <c r="K9" s="471">
        <v>246518</v>
      </c>
      <c r="L9" s="471">
        <f>7130+27500</f>
        <v>34630</v>
      </c>
      <c r="M9" s="471">
        <v>134986</v>
      </c>
      <c r="N9" s="471">
        <v>29072</v>
      </c>
      <c r="O9" s="303">
        <v>7200</v>
      </c>
      <c r="P9" s="303"/>
      <c r="Q9" s="303"/>
      <c r="R9" s="471">
        <v>376162</v>
      </c>
      <c r="S9" s="473">
        <v>58932</v>
      </c>
    </row>
    <row r="10" spans="1:19" ht="15">
      <c r="A10" s="475"/>
      <c r="B10" s="423" t="s">
        <v>310</v>
      </c>
      <c r="C10" s="497">
        <f t="shared" si="0"/>
        <v>4964471</v>
      </c>
      <c r="D10" s="471"/>
      <c r="E10" s="471"/>
      <c r="F10" s="471"/>
      <c r="G10" s="472"/>
      <c r="H10" s="471"/>
      <c r="I10" s="404">
        <v>419904</v>
      </c>
      <c r="J10" s="471">
        <v>3436268</v>
      </c>
      <c r="K10" s="471">
        <f>535481-27182</f>
        <v>508299</v>
      </c>
      <c r="L10" s="471"/>
      <c r="M10" s="471"/>
      <c r="N10" s="471"/>
      <c r="O10" s="303"/>
      <c r="P10" s="303"/>
      <c r="Q10" s="303"/>
      <c r="R10" s="471">
        <f>2000000-1400000</f>
        <v>600000</v>
      </c>
      <c r="S10" s="473">
        <f>62900-62900</f>
        <v>0</v>
      </c>
    </row>
    <row r="11" spans="1:19" ht="15">
      <c r="A11" s="475"/>
      <c r="B11" s="431" t="s">
        <v>311</v>
      </c>
      <c r="C11" s="497">
        <f t="shared" si="0"/>
        <v>3709243</v>
      </c>
      <c r="D11" s="471">
        <v>1811915</v>
      </c>
      <c r="E11" s="472"/>
      <c r="F11" s="471"/>
      <c r="G11" s="472">
        <v>1355687</v>
      </c>
      <c r="H11" s="471">
        <v>541641</v>
      </c>
      <c r="I11" s="404"/>
      <c r="J11" s="471"/>
      <c r="K11" s="471"/>
      <c r="L11" s="471"/>
      <c r="M11" s="471"/>
      <c r="N11" s="471"/>
      <c r="O11" s="303"/>
      <c r="P11" s="303"/>
      <c r="Q11" s="303"/>
      <c r="R11" s="471"/>
      <c r="S11" s="473"/>
    </row>
    <row r="12" spans="1:19" ht="15.75" thickBot="1">
      <c r="A12" s="475"/>
      <c r="B12" s="431" t="s">
        <v>9</v>
      </c>
      <c r="C12" s="497">
        <f t="shared" si="0"/>
        <v>0</v>
      </c>
      <c r="D12" s="471"/>
      <c r="E12" s="476"/>
      <c r="F12" s="471"/>
      <c r="G12" s="472"/>
      <c r="H12" s="471"/>
      <c r="I12" s="329"/>
      <c r="J12" s="471"/>
      <c r="K12" s="471"/>
      <c r="L12" s="471"/>
      <c r="M12" s="471"/>
      <c r="N12" s="471"/>
      <c r="O12" s="303"/>
      <c r="P12" s="303"/>
      <c r="Q12" s="303"/>
      <c r="R12" s="471"/>
      <c r="S12" s="473"/>
    </row>
    <row r="13" spans="1:19" ht="15.75" thickBot="1">
      <c r="A13" s="477"/>
      <c r="B13" s="416" t="s">
        <v>41</v>
      </c>
      <c r="C13" s="502">
        <f>SUM(C8:C12)</f>
        <v>14389408</v>
      </c>
      <c r="D13" s="479">
        <f>SUM(D8:D12)</f>
        <v>4598376</v>
      </c>
      <c r="E13" s="478">
        <f>SUM(E8:E12)</f>
        <v>80830</v>
      </c>
      <c r="F13" s="479">
        <f>SUM(F8:F12)</f>
        <v>107995</v>
      </c>
      <c r="G13" s="479">
        <f aca="true" t="shared" si="1" ref="G13:S13">SUM(G8:G12)</f>
        <v>1772838</v>
      </c>
      <c r="H13" s="479">
        <f t="shared" si="1"/>
        <v>621618</v>
      </c>
      <c r="I13" s="433">
        <f>SUM(I8:I12)</f>
        <v>916601</v>
      </c>
      <c r="J13" s="479">
        <f t="shared" si="1"/>
        <v>3909770</v>
      </c>
      <c r="K13" s="480">
        <f>SUM(K8:K12)</f>
        <v>792359</v>
      </c>
      <c r="L13" s="479">
        <f t="shared" si="1"/>
        <v>34630</v>
      </c>
      <c r="M13" s="479">
        <f t="shared" si="1"/>
        <v>156210</v>
      </c>
      <c r="N13" s="479">
        <f>SUM(N8:N12)</f>
        <v>37865</v>
      </c>
      <c r="O13" s="304">
        <f>SUM(O8+O9+O11)</f>
        <v>64369</v>
      </c>
      <c r="P13" s="304">
        <f>SUM(P8+P9+P11)</f>
        <v>51750</v>
      </c>
      <c r="Q13" s="304">
        <f>SUM(Q8+Q9+Q11)</f>
        <v>2600</v>
      </c>
      <c r="R13" s="479">
        <f t="shared" si="1"/>
        <v>1035677</v>
      </c>
      <c r="S13" s="521">
        <f t="shared" si="1"/>
        <v>205920</v>
      </c>
    </row>
    <row r="14" spans="1:19" ht="15.75" thickBot="1">
      <c r="A14" s="481"/>
      <c r="B14" s="418" t="s">
        <v>223</v>
      </c>
      <c r="C14" s="482">
        <f>SUM(C7+C13)</f>
        <v>17668575</v>
      </c>
      <c r="D14" s="483">
        <f aca="true" t="shared" si="2" ref="D14:S14">SUM(D7+D13)</f>
        <v>4916765</v>
      </c>
      <c r="E14" s="484">
        <f>SUM(E7+E13)</f>
        <v>80830</v>
      </c>
      <c r="F14" s="483">
        <f>SUM(F7+F13)</f>
        <v>107995</v>
      </c>
      <c r="G14" s="483">
        <f t="shared" si="2"/>
        <v>2176612</v>
      </c>
      <c r="H14" s="483">
        <f t="shared" si="2"/>
        <v>621618</v>
      </c>
      <c r="I14" s="435">
        <f t="shared" si="2"/>
        <v>916601</v>
      </c>
      <c r="J14" s="483">
        <f t="shared" si="2"/>
        <v>6409770</v>
      </c>
      <c r="K14" s="483">
        <f>SUM(K7+K13)</f>
        <v>792359</v>
      </c>
      <c r="L14" s="483">
        <f t="shared" si="2"/>
        <v>49824</v>
      </c>
      <c r="M14" s="483">
        <f t="shared" si="2"/>
        <v>167075</v>
      </c>
      <c r="N14" s="483">
        <f>SUM(N7+N13)</f>
        <v>53540</v>
      </c>
      <c r="O14" s="305">
        <f>SUM(O7+O13)</f>
        <v>66169</v>
      </c>
      <c r="P14" s="305">
        <f>SUM(P7+P13)</f>
        <v>51750</v>
      </c>
      <c r="Q14" s="305">
        <f>SUM(Q7+Q13)</f>
        <v>2600</v>
      </c>
      <c r="R14" s="483">
        <f t="shared" si="2"/>
        <v>1049147</v>
      </c>
      <c r="S14" s="506">
        <f t="shared" si="2"/>
        <v>205920</v>
      </c>
    </row>
    <row r="15" spans="1:19" ht="4.5" customHeight="1" thickBot="1">
      <c r="A15" s="522"/>
      <c r="B15" s="420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306"/>
      <c r="P15" s="306"/>
      <c r="Q15" s="306"/>
      <c r="R15" s="523"/>
      <c r="S15" s="524"/>
    </row>
    <row r="16" spans="1:19" ht="15.75" thickBot="1">
      <c r="A16" s="415" t="s">
        <v>7</v>
      </c>
      <c r="B16" s="382" t="s">
        <v>10</v>
      </c>
      <c r="C16" s="486" t="s">
        <v>36</v>
      </c>
      <c r="D16" s="487" t="s">
        <v>263</v>
      </c>
      <c r="E16" s="487" t="s">
        <v>263</v>
      </c>
      <c r="F16" s="487" t="s">
        <v>263</v>
      </c>
      <c r="G16" s="487" t="s">
        <v>263</v>
      </c>
      <c r="H16" s="487" t="s">
        <v>263</v>
      </c>
      <c r="I16" s="820" t="s">
        <v>263</v>
      </c>
      <c r="J16" s="487" t="s">
        <v>263</v>
      </c>
      <c r="K16" s="487" t="s">
        <v>263</v>
      </c>
      <c r="L16" s="487" t="s">
        <v>263</v>
      </c>
      <c r="M16" s="487" t="s">
        <v>263</v>
      </c>
      <c r="N16" s="487" t="s">
        <v>263</v>
      </c>
      <c r="O16" s="487" t="s">
        <v>263</v>
      </c>
      <c r="P16" s="487" t="s">
        <v>263</v>
      </c>
      <c r="Q16" s="487" t="s">
        <v>263</v>
      </c>
      <c r="R16" s="487" t="s">
        <v>263</v>
      </c>
      <c r="S16" s="821" t="s">
        <v>263</v>
      </c>
    </row>
    <row r="17" spans="1:19" ht="15">
      <c r="A17" s="441">
        <v>1100</v>
      </c>
      <c r="B17" s="442" t="s">
        <v>11</v>
      </c>
      <c r="C17" s="497">
        <f>SUM(D17:S17)</f>
        <v>81098</v>
      </c>
      <c r="D17" s="818"/>
      <c r="E17" s="471"/>
      <c r="F17" s="818">
        <f>6769+4000</f>
        <v>10769</v>
      </c>
      <c r="G17" s="819"/>
      <c r="H17" s="471"/>
      <c r="I17" s="471">
        <v>14230</v>
      </c>
      <c r="J17" s="818"/>
      <c r="K17" s="471"/>
      <c r="L17" s="472">
        <f>1956+4000</f>
        <v>5956</v>
      </c>
      <c r="M17" s="472"/>
      <c r="N17" s="471">
        <v>3991</v>
      </c>
      <c r="O17" s="471"/>
      <c r="P17" s="471"/>
      <c r="Q17" s="471"/>
      <c r="R17" s="471">
        <v>46152</v>
      </c>
      <c r="S17" s="473"/>
    </row>
    <row r="18" spans="1:19" ht="45">
      <c r="A18" s="443">
        <v>1200</v>
      </c>
      <c r="B18" s="426" t="s">
        <v>12</v>
      </c>
      <c r="C18" s="497">
        <f>SUM(D18:S18)</f>
        <v>19628</v>
      </c>
      <c r="D18" s="488"/>
      <c r="E18" s="406"/>
      <c r="F18" s="488">
        <f>1631+964</f>
        <v>2595</v>
      </c>
      <c r="G18" s="490"/>
      <c r="H18" s="406"/>
      <c r="I18" s="406">
        <v>3428</v>
      </c>
      <c r="J18" s="488"/>
      <c r="K18" s="406"/>
      <c r="L18" s="489">
        <f>489+1000</f>
        <v>1489</v>
      </c>
      <c r="M18" s="489"/>
      <c r="N18" s="406">
        <v>998</v>
      </c>
      <c r="O18" s="406"/>
      <c r="P18" s="406"/>
      <c r="Q18" s="406"/>
      <c r="R18" s="406">
        <v>11118</v>
      </c>
      <c r="S18" s="491"/>
    </row>
    <row r="19" spans="1:19" ht="15">
      <c r="A19" s="443">
        <v>2000</v>
      </c>
      <c r="B19" s="423" t="s">
        <v>13</v>
      </c>
      <c r="C19" s="492">
        <f aca="true" t="shared" si="3" ref="C19:S19">SUM(C20+C21+C22+C23+C24)</f>
        <v>87386</v>
      </c>
      <c r="D19" s="490">
        <f t="shared" si="3"/>
        <v>0</v>
      </c>
      <c r="E19" s="490">
        <f t="shared" si="3"/>
        <v>0</v>
      </c>
      <c r="F19" s="490">
        <f>SUM(F20+F21+F22+F23+F24)</f>
        <v>17875</v>
      </c>
      <c r="G19" s="490">
        <f>SUM(G20+G21+G22+G23+G24)</f>
        <v>0</v>
      </c>
      <c r="H19" s="406">
        <f>SUM(H20+H21+H22+H23+H24)</f>
        <v>0</v>
      </c>
      <c r="I19" s="406">
        <f>SUM(I20+I21+I22+I23+I24)</f>
        <v>581</v>
      </c>
      <c r="J19" s="488">
        <f>SUM(J20+J21+J22+J23+J24)</f>
        <v>0</v>
      </c>
      <c r="K19" s="490">
        <f>SUM(K20+K21+K22+K23+K24)</f>
        <v>0</v>
      </c>
      <c r="L19" s="489">
        <f t="shared" si="3"/>
        <v>42379</v>
      </c>
      <c r="M19" s="489">
        <f t="shared" si="3"/>
        <v>0</v>
      </c>
      <c r="N19" s="406">
        <f t="shared" si="3"/>
        <v>26551</v>
      </c>
      <c r="O19" s="406">
        <f t="shared" si="3"/>
        <v>0</v>
      </c>
      <c r="P19" s="406">
        <f t="shared" si="3"/>
        <v>0</v>
      </c>
      <c r="Q19" s="406">
        <f t="shared" si="3"/>
        <v>0</v>
      </c>
      <c r="R19" s="406">
        <f t="shared" si="3"/>
        <v>0</v>
      </c>
      <c r="S19" s="491">
        <f t="shared" si="3"/>
        <v>0</v>
      </c>
    </row>
    <row r="20" spans="1:19" ht="15">
      <c r="A20" s="443">
        <v>2100</v>
      </c>
      <c r="B20" s="423" t="s">
        <v>14</v>
      </c>
      <c r="C20" s="497">
        <f aca="true" t="shared" si="4" ref="C20:C31">SUM(D20:S20)</f>
        <v>3581</v>
      </c>
      <c r="D20" s="488"/>
      <c r="E20" s="406"/>
      <c r="F20" s="490">
        <v>1900</v>
      </c>
      <c r="G20" s="490"/>
      <c r="H20" s="406"/>
      <c r="I20" s="406"/>
      <c r="J20" s="488"/>
      <c r="K20" s="406"/>
      <c r="L20" s="489"/>
      <c r="M20" s="489"/>
      <c r="N20" s="406">
        <v>1681</v>
      </c>
      <c r="O20" s="406"/>
      <c r="P20" s="406"/>
      <c r="Q20" s="406"/>
      <c r="R20" s="406"/>
      <c r="S20" s="491"/>
    </row>
    <row r="21" spans="1:19" ht="15">
      <c r="A21" s="443">
        <v>2200</v>
      </c>
      <c r="B21" s="423" t="s">
        <v>15</v>
      </c>
      <c r="C21" s="497">
        <f t="shared" si="4"/>
        <v>79325</v>
      </c>
      <c r="D21" s="488"/>
      <c r="E21" s="406"/>
      <c r="F21" s="488">
        <f>20939-4964</f>
        <v>15975</v>
      </c>
      <c r="G21" s="490"/>
      <c r="H21" s="406"/>
      <c r="I21" s="406">
        <v>581</v>
      </c>
      <c r="J21" s="488"/>
      <c r="K21" s="406"/>
      <c r="L21" s="489">
        <f>19879+20000</f>
        <v>39879</v>
      </c>
      <c r="M21" s="489">
        <f>1176-1176</f>
        <v>0</v>
      </c>
      <c r="N21" s="406">
        <v>22890</v>
      </c>
      <c r="O21" s="406"/>
      <c r="P21" s="406"/>
      <c r="Q21" s="406"/>
      <c r="R21" s="406"/>
      <c r="S21" s="491"/>
    </row>
    <row r="22" spans="1:19" ht="15">
      <c r="A22" s="443">
        <v>2300</v>
      </c>
      <c r="B22" s="423" t="s">
        <v>16</v>
      </c>
      <c r="C22" s="497">
        <f t="shared" si="4"/>
        <v>4480</v>
      </c>
      <c r="D22" s="488"/>
      <c r="E22" s="406"/>
      <c r="F22" s="490"/>
      <c r="G22" s="490"/>
      <c r="H22" s="406"/>
      <c r="I22" s="406"/>
      <c r="J22" s="488"/>
      <c r="K22" s="490"/>
      <c r="L22" s="406">
        <v>2500</v>
      </c>
      <c r="M22" s="489"/>
      <c r="N22" s="406">
        <v>1980</v>
      </c>
      <c r="O22" s="406"/>
      <c r="P22" s="406"/>
      <c r="Q22" s="406"/>
      <c r="R22" s="406"/>
      <c r="S22" s="491"/>
    </row>
    <row r="23" spans="1:19" ht="15" hidden="1">
      <c r="A23" s="443">
        <v>2400</v>
      </c>
      <c r="B23" s="423" t="s">
        <v>224</v>
      </c>
      <c r="C23" s="497">
        <f t="shared" si="4"/>
        <v>0</v>
      </c>
      <c r="D23" s="488"/>
      <c r="E23" s="406"/>
      <c r="F23" s="406"/>
      <c r="G23" s="489"/>
      <c r="H23" s="406"/>
      <c r="I23" s="406"/>
      <c r="J23" s="489"/>
      <c r="K23" s="490"/>
      <c r="L23" s="406"/>
      <c r="M23" s="406"/>
      <c r="N23" s="406"/>
      <c r="O23" s="489"/>
      <c r="P23" s="489"/>
      <c r="Q23" s="489"/>
      <c r="R23" s="489"/>
      <c r="S23" s="491"/>
    </row>
    <row r="24" spans="1:19" ht="15" hidden="1">
      <c r="A24" s="443">
        <v>2500</v>
      </c>
      <c r="B24" s="423" t="s">
        <v>17</v>
      </c>
      <c r="C24" s="497">
        <f t="shared" si="4"/>
        <v>0</v>
      </c>
      <c r="D24" s="488"/>
      <c r="E24" s="406"/>
      <c r="F24" s="406"/>
      <c r="G24" s="489"/>
      <c r="H24" s="406"/>
      <c r="I24" s="406"/>
      <c r="J24" s="489"/>
      <c r="K24" s="490"/>
      <c r="L24" s="406"/>
      <c r="M24" s="406"/>
      <c r="N24" s="406"/>
      <c r="O24" s="406"/>
      <c r="P24" s="406"/>
      <c r="Q24" s="406"/>
      <c r="R24" s="406"/>
      <c r="S24" s="491"/>
    </row>
    <row r="25" spans="1:19" ht="15" hidden="1">
      <c r="A25" s="443">
        <v>3200</v>
      </c>
      <c r="B25" s="423" t="s">
        <v>225</v>
      </c>
      <c r="C25" s="497">
        <f t="shared" si="4"/>
        <v>0</v>
      </c>
      <c r="D25" s="488"/>
      <c r="E25" s="406"/>
      <c r="F25" s="406"/>
      <c r="G25" s="489"/>
      <c r="H25" s="406"/>
      <c r="I25" s="406"/>
      <c r="J25" s="489"/>
      <c r="K25" s="490"/>
      <c r="L25" s="406"/>
      <c r="M25" s="406"/>
      <c r="N25" s="406"/>
      <c r="O25" s="406"/>
      <c r="P25" s="406"/>
      <c r="Q25" s="406"/>
      <c r="R25" s="406"/>
      <c r="S25" s="491"/>
    </row>
    <row r="26" spans="1:19" ht="15">
      <c r="A26" s="443">
        <v>5100</v>
      </c>
      <c r="B26" s="423" t="s">
        <v>22</v>
      </c>
      <c r="C26" s="497">
        <f t="shared" si="4"/>
        <v>0</v>
      </c>
      <c r="D26" s="488"/>
      <c r="E26" s="406"/>
      <c r="F26" s="406"/>
      <c r="G26" s="489"/>
      <c r="H26" s="406"/>
      <c r="I26" s="406"/>
      <c r="J26" s="489"/>
      <c r="K26" s="490"/>
      <c r="L26" s="406"/>
      <c r="M26" s="406"/>
      <c r="N26" s="406"/>
      <c r="O26" s="406"/>
      <c r="P26" s="406"/>
      <c r="Q26" s="406"/>
      <c r="R26" s="406"/>
      <c r="S26" s="491"/>
    </row>
    <row r="27" spans="1:19" ht="15">
      <c r="A27" s="443">
        <v>5200</v>
      </c>
      <c r="B27" s="423" t="s">
        <v>23</v>
      </c>
      <c r="C27" s="497">
        <f t="shared" si="4"/>
        <v>17480463</v>
      </c>
      <c r="D27" s="488">
        <f>4910782+5983</f>
        <v>4916765</v>
      </c>
      <c r="E27" s="406">
        <v>80830</v>
      </c>
      <c r="F27" s="406">
        <v>76756</v>
      </c>
      <c r="G27" s="489">
        <f>1916612+260000</f>
        <v>2176612</v>
      </c>
      <c r="H27" s="406">
        <f>615820+5798</f>
        <v>621618</v>
      </c>
      <c r="I27" s="406">
        <v>898362</v>
      </c>
      <c r="J27" s="489">
        <f>6400000+9770</f>
        <v>6409770</v>
      </c>
      <c r="K27" s="490">
        <f>809180-16821</f>
        <v>792359</v>
      </c>
      <c r="L27" s="406">
        <v>0</v>
      </c>
      <c r="M27" s="406">
        <f>166268+807</f>
        <v>167075</v>
      </c>
      <c r="N27" s="406">
        <v>22000</v>
      </c>
      <c r="O27" s="406">
        <f>53875+12294</f>
        <v>66169</v>
      </c>
      <c r="P27" s="406">
        <v>51750</v>
      </c>
      <c r="Q27" s="406">
        <v>2600</v>
      </c>
      <c r="R27" s="406">
        <f>2391877-1400000</f>
        <v>991877</v>
      </c>
      <c r="S27" s="491">
        <f>268820-62900</f>
        <v>205920</v>
      </c>
    </row>
    <row r="28" spans="1:19" ht="15.75" thickBot="1">
      <c r="A28" s="443">
        <v>6200</v>
      </c>
      <c r="B28" s="444" t="s">
        <v>24</v>
      </c>
      <c r="C28" s="497">
        <f t="shared" si="4"/>
        <v>0</v>
      </c>
      <c r="D28" s="494"/>
      <c r="E28" s="493"/>
      <c r="F28" s="493"/>
      <c r="G28" s="494"/>
      <c r="H28" s="493"/>
      <c r="I28" s="493"/>
      <c r="J28" s="493"/>
      <c r="K28" s="495"/>
      <c r="L28" s="493"/>
      <c r="M28" s="493"/>
      <c r="N28" s="493"/>
      <c r="O28" s="493"/>
      <c r="P28" s="493"/>
      <c r="Q28" s="493"/>
      <c r="R28" s="493"/>
      <c r="S28" s="496"/>
    </row>
    <row r="29" spans="1:19" ht="15.75" hidden="1" thickBot="1">
      <c r="A29" s="445">
        <v>7240</v>
      </c>
      <c r="B29" s="446" t="s">
        <v>226</v>
      </c>
      <c r="C29" s="497">
        <f t="shared" si="4"/>
        <v>0</v>
      </c>
      <c r="D29" s="498"/>
      <c r="E29" s="493"/>
      <c r="F29" s="499"/>
      <c r="G29" s="498"/>
      <c r="H29" s="499"/>
      <c r="I29" s="499"/>
      <c r="J29" s="499"/>
      <c r="K29" s="500"/>
      <c r="L29" s="499"/>
      <c r="M29" s="499"/>
      <c r="N29" s="499"/>
      <c r="O29" s="499"/>
      <c r="P29" s="499"/>
      <c r="Q29" s="499"/>
      <c r="R29" s="499"/>
      <c r="S29" s="501"/>
    </row>
    <row r="30" spans="1:19" ht="15.75" hidden="1" thickBot="1">
      <c r="A30" s="445">
        <v>7700</v>
      </c>
      <c r="B30" s="446" t="s">
        <v>134</v>
      </c>
      <c r="C30" s="497">
        <f t="shared" si="4"/>
        <v>0</v>
      </c>
      <c r="D30" s="498"/>
      <c r="E30" s="493"/>
      <c r="F30" s="499"/>
      <c r="G30" s="498"/>
      <c r="H30" s="499"/>
      <c r="I30" s="499"/>
      <c r="J30" s="499"/>
      <c r="K30" s="500"/>
      <c r="L30" s="499"/>
      <c r="M30" s="499"/>
      <c r="N30" s="499"/>
      <c r="O30" s="499"/>
      <c r="P30" s="499"/>
      <c r="Q30" s="499"/>
      <c r="R30" s="499"/>
      <c r="S30" s="501"/>
    </row>
    <row r="31" spans="1:19" ht="15.75" hidden="1" thickBot="1">
      <c r="A31" s="445">
        <v>9200</v>
      </c>
      <c r="B31" s="447" t="s">
        <v>126</v>
      </c>
      <c r="C31" s="497">
        <f t="shared" si="4"/>
        <v>0</v>
      </c>
      <c r="D31" s="498"/>
      <c r="E31" s="499"/>
      <c r="F31" s="499"/>
      <c r="G31" s="498"/>
      <c r="H31" s="499"/>
      <c r="I31" s="499"/>
      <c r="J31" s="499"/>
      <c r="K31" s="500"/>
      <c r="L31" s="499"/>
      <c r="M31" s="499"/>
      <c r="N31" s="499"/>
      <c r="O31" s="499"/>
      <c r="P31" s="499"/>
      <c r="Q31" s="499"/>
      <c r="R31" s="499"/>
      <c r="S31" s="501"/>
    </row>
    <row r="32" spans="1:19" ht="15" thickBot="1">
      <c r="A32" s="381"/>
      <c r="B32" s="416" t="s">
        <v>26</v>
      </c>
      <c r="C32" s="502">
        <f>SUM(C17+C18+C19+C25+C26+C27+C28+C29+C31)</f>
        <v>17668575</v>
      </c>
      <c r="D32" s="503">
        <f aca="true" t="shared" si="5" ref="D32:S32">SUM(D17+D18+D19+D25+D26+D27+D28+D29+D31)</f>
        <v>4916765</v>
      </c>
      <c r="E32" s="502">
        <f t="shared" si="5"/>
        <v>80830</v>
      </c>
      <c r="F32" s="504">
        <f t="shared" si="5"/>
        <v>107995</v>
      </c>
      <c r="G32" s="483">
        <f t="shared" si="5"/>
        <v>2176612</v>
      </c>
      <c r="H32" s="504">
        <f t="shared" si="5"/>
        <v>621618</v>
      </c>
      <c r="I32" s="504">
        <f t="shared" si="5"/>
        <v>916601</v>
      </c>
      <c r="J32" s="504">
        <f t="shared" si="5"/>
        <v>6409770</v>
      </c>
      <c r="K32" s="505">
        <f t="shared" si="5"/>
        <v>792359</v>
      </c>
      <c r="L32" s="504">
        <f t="shared" si="5"/>
        <v>49824</v>
      </c>
      <c r="M32" s="504">
        <f t="shared" si="5"/>
        <v>167075</v>
      </c>
      <c r="N32" s="504">
        <f t="shared" si="5"/>
        <v>53540</v>
      </c>
      <c r="O32" s="504">
        <f t="shared" si="5"/>
        <v>66169</v>
      </c>
      <c r="P32" s="504">
        <f t="shared" si="5"/>
        <v>51750</v>
      </c>
      <c r="Q32" s="504">
        <f t="shared" si="5"/>
        <v>2600</v>
      </c>
      <c r="R32" s="504">
        <f t="shared" si="5"/>
        <v>1049147</v>
      </c>
      <c r="S32" s="525">
        <f t="shared" si="5"/>
        <v>205920</v>
      </c>
    </row>
    <row r="33" spans="1:19" ht="15.75" thickBot="1">
      <c r="A33" s="427"/>
      <c r="B33" s="428"/>
      <c r="C33" s="516">
        <f>C14-C32</f>
        <v>0</v>
      </c>
      <c r="D33" s="517">
        <f aca="true" t="shared" si="6" ref="D33:S33">D14-D32</f>
        <v>0</v>
      </c>
      <c r="E33" s="518">
        <f t="shared" si="6"/>
        <v>0</v>
      </c>
      <c r="F33" s="519">
        <f t="shared" si="6"/>
        <v>0</v>
      </c>
      <c r="G33" s="519">
        <f t="shared" si="6"/>
        <v>0</v>
      </c>
      <c r="H33" s="519">
        <f t="shared" si="6"/>
        <v>0</v>
      </c>
      <c r="I33" s="519">
        <f t="shared" si="6"/>
        <v>0</v>
      </c>
      <c r="J33" s="519">
        <f t="shared" si="6"/>
        <v>0</v>
      </c>
      <c r="K33" s="519">
        <f t="shared" si="6"/>
        <v>0</v>
      </c>
      <c r="L33" s="519">
        <f t="shared" si="6"/>
        <v>0</v>
      </c>
      <c r="M33" s="519">
        <f t="shared" si="6"/>
        <v>0</v>
      </c>
      <c r="N33" s="519">
        <f t="shared" si="6"/>
        <v>0</v>
      </c>
      <c r="O33" s="519">
        <f t="shared" si="6"/>
        <v>0</v>
      </c>
      <c r="P33" s="519">
        <f t="shared" si="6"/>
        <v>0</v>
      </c>
      <c r="Q33" s="519">
        <f t="shared" si="6"/>
        <v>0</v>
      </c>
      <c r="R33" s="519">
        <f t="shared" si="6"/>
        <v>0</v>
      </c>
      <c r="S33" s="518">
        <f t="shared" si="6"/>
        <v>0</v>
      </c>
    </row>
    <row r="35" spans="2:3" ht="15">
      <c r="B35" s="8" t="s">
        <v>157</v>
      </c>
      <c r="C35" s="1" t="s">
        <v>43</v>
      </c>
    </row>
    <row r="37" spans="3:19" ht="12.75">
      <c r="C37" s="822"/>
      <c r="D37" s="822"/>
      <c r="E37" s="822"/>
      <c r="F37" s="822"/>
      <c r="G37" s="822"/>
      <c r="H37" s="822"/>
      <c r="I37" s="871"/>
      <c r="J37" s="822"/>
      <c r="K37" s="822"/>
      <c r="L37" s="822"/>
      <c r="M37" s="822"/>
      <c r="N37" s="822"/>
      <c r="O37" s="822"/>
      <c r="P37" s="822"/>
      <c r="Q37" s="822"/>
      <c r="R37" s="822"/>
      <c r="S37" s="822"/>
    </row>
    <row r="39" ht="12.75">
      <c r="C39" s="822"/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6" sqref="P6"/>
    </sheetView>
  </sheetViews>
  <sheetFormatPr defaultColWidth="9.140625" defaultRowHeight="12.75" outlineLevelRow="1"/>
  <cols>
    <col min="1" max="1" width="6.28125" style="600" customWidth="1"/>
    <col min="2" max="2" width="20.57421875" style="372" customWidth="1"/>
    <col min="3" max="3" width="8.28125" style="372" customWidth="1"/>
    <col min="4" max="4" width="7.8515625" style="372" customWidth="1"/>
    <col min="5" max="5" width="8.140625" style="372" customWidth="1"/>
    <col min="6" max="6" width="7.8515625" style="372" customWidth="1"/>
    <col min="7" max="7" width="8.28125" style="372" customWidth="1"/>
    <col min="8" max="8" width="8.140625" style="372" customWidth="1"/>
    <col min="9" max="10" width="8.8515625" style="372" customWidth="1"/>
    <col min="11" max="13" width="8.421875" style="372" customWidth="1"/>
    <col min="14" max="14" width="8.8515625" style="372" customWidth="1"/>
    <col min="15" max="15" width="8.421875" style="600" customWidth="1"/>
    <col min="16" max="16" width="9.421875" style="372" customWidth="1"/>
    <col min="17" max="19" width="8.140625" style="372" customWidth="1"/>
    <col min="20" max="20" width="9.28125" style="372" customWidth="1"/>
    <col min="21" max="21" width="9.421875" style="372" bestFit="1" customWidth="1"/>
    <col min="22" max="26" width="8.140625" style="372" customWidth="1"/>
    <col min="27" max="27" width="7.7109375" style="372" customWidth="1"/>
    <col min="28" max="28" width="8.28125" style="372" customWidth="1"/>
    <col min="29" max="29" width="8.421875" style="372" customWidth="1"/>
    <col min="30" max="16384" width="9.140625" style="372" customWidth="1"/>
  </cols>
  <sheetData>
    <row r="1" spans="1:26" s="368" customFormat="1" ht="12" customHeight="1">
      <c r="A1" s="366"/>
      <c r="B1" s="367" t="s">
        <v>0</v>
      </c>
      <c r="D1" s="552"/>
      <c r="E1" s="552"/>
      <c r="O1" s="366"/>
      <c r="Z1" s="368" t="s">
        <v>320</v>
      </c>
    </row>
    <row r="2" spans="1:2" s="485" customFormat="1" ht="12" customHeight="1">
      <c r="A2" s="553"/>
      <c r="B2" s="554"/>
    </row>
    <row r="3" spans="1:29" ht="12" customHeight="1">
      <c r="A3" s="369" t="s">
        <v>302</v>
      </c>
      <c r="B3" s="369"/>
      <c r="C3" s="369"/>
      <c r="D3" s="370"/>
      <c r="E3" s="370"/>
      <c r="F3" s="555"/>
      <c r="G3" s="370"/>
      <c r="H3" s="370"/>
      <c r="I3" s="370"/>
      <c r="J3" s="370"/>
      <c r="K3" s="370"/>
      <c r="L3" s="370"/>
      <c r="M3" s="371"/>
      <c r="N3" s="371"/>
      <c r="O3" s="555"/>
      <c r="P3" s="555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555"/>
      <c r="AB3" s="371"/>
      <c r="AC3" s="555"/>
    </row>
    <row r="4" spans="1:29" ht="12" customHeight="1" thickBot="1">
      <c r="A4" s="373" t="s">
        <v>380</v>
      </c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</row>
    <row r="5" spans="1:29" ht="13.5" customHeight="1">
      <c r="A5" s="556"/>
      <c r="B5" s="463" t="s">
        <v>197</v>
      </c>
      <c r="C5" s="557"/>
      <c r="D5" s="558" t="s">
        <v>253</v>
      </c>
      <c r="E5" s="379" t="s">
        <v>321</v>
      </c>
      <c r="F5" s="464" t="s">
        <v>322</v>
      </c>
      <c r="G5" s="376" t="s">
        <v>323</v>
      </c>
      <c r="H5" s="376" t="s">
        <v>324</v>
      </c>
      <c r="I5" s="465" t="s">
        <v>325</v>
      </c>
      <c r="J5" s="465" t="s">
        <v>326</v>
      </c>
      <c r="K5" s="376" t="s">
        <v>329</v>
      </c>
      <c r="L5" s="376" t="s">
        <v>366</v>
      </c>
      <c r="M5" s="465" t="s">
        <v>367</v>
      </c>
      <c r="N5" s="376" t="s">
        <v>254</v>
      </c>
      <c r="O5" s="376" t="s">
        <v>256</v>
      </c>
      <c r="P5" s="376" t="s">
        <v>327</v>
      </c>
      <c r="Q5" s="376" t="s">
        <v>328</v>
      </c>
      <c r="R5" s="376" t="s">
        <v>536</v>
      </c>
      <c r="S5" s="376" t="s">
        <v>537</v>
      </c>
      <c r="T5" s="376" t="s">
        <v>538</v>
      </c>
      <c r="U5" s="376" t="s">
        <v>539</v>
      </c>
      <c r="V5" s="376" t="s">
        <v>540</v>
      </c>
      <c r="W5" s="376" t="s">
        <v>541</v>
      </c>
      <c r="X5" s="376" t="s">
        <v>542</v>
      </c>
      <c r="Y5" s="376" t="s">
        <v>602</v>
      </c>
      <c r="Z5" s="376" t="s">
        <v>248</v>
      </c>
      <c r="AA5" s="376" t="s">
        <v>330</v>
      </c>
      <c r="AB5" s="379" t="s">
        <v>368</v>
      </c>
      <c r="AC5" s="464" t="s">
        <v>198</v>
      </c>
    </row>
    <row r="6" spans="1:29" s="374" customFormat="1" ht="248.25" customHeight="1" thickBot="1">
      <c r="A6" s="559"/>
      <c r="B6" s="560"/>
      <c r="C6" s="561" t="s">
        <v>131</v>
      </c>
      <c r="D6" s="432" t="s">
        <v>570</v>
      </c>
      <c r="E6" s="562" t="s">
        <v>571</v>
      </c>
      <c r="F6" s="515" t="s">
        <v>572</v>
      </c>
      <c r="G6" s="429" t="s">
        <v>331</v>
      </c>
      <c r="H6" s="429" t="s">
        <v>332</v>
      </c>
      <c r="I6" s="429" t="s">
        <v>333</v>
      </c>
      <c r="J6" s="429" t="s">
        <v>334</v>
      </c>
      <c r="K6" s="515" t="s">
        <v>337</v>
      </c>
      <c r="L6" s="646" t="s">
        <v>372</v>
      </c>
      <c r="M6" s="647" t="s">
        <v>373</v>
      </c>
      <c r="N6" s="515" t="s">
        <v>574</v>
      </c>
      <c r="O6" s="515" t="s">
        <v>573</v>
      </c>
      <c r="P6" s="429" t="s">
        <v>335</v>
      </c>
      <c r="Q6" s="515" t="s">
        <v>336</v>
      </c>
      <c r="R6" s="824" t="s">
        <v>543</v>
      </c>
      <c r="S6" s="825" t="s">
        <v>544</v>
      </c>
      <c r="T6" s="826" t="s">
        <v>545</v>
      </c>
      <c r="U6" s="826" t="s">
        <v>546</v>
      </c>
      <c r="V6" s="826" t="s">
        <v>547</v>
      </c>
      <c r="W6" s="826" t="s">
        <v>548</v>
      </c>
      <c r="X6" s="826" t="s">
        <v>549</v>
      </c>
      <c r="Y6" s="870" t="s">
        <v>603</v>
      </c>
      <c r="Z6" s="563" t="s">
        <v>338</v>
      </c>
      <c r="AA6" s="563" t="s">
        <v>339</v>
      </c>
      <c r="AB6" s="645" t="s">
        <v>371</v>
      </c>
      <c r="AC6" s="520" t="s">
        <v>340</v>
      </c>
    </row>
    <row r="7" spans="1:29" ht="15.75" thickBot="1">
      <c r="A7" s="381" t="s">
        <v>7</v>
      </c>
      <c r="B7" s="382" t="s">
        <v>8</v>
      </c>
      <c r="C7" s="383" t="s">
        <v>30</v>
      </c>
      <c r="D7" s="564" t="s">
        <v>263</v>
      </c>
      <c r="E7" s="383" t="s">
        <v>263</v>
      </c>
      <c r="F7" s="508" t="s">
        <v>263</v>
      </c>
      <c r="G7" s="384" t="s">
        <v>263</v>
      </c>
      <c r="H7" s="384" t="s">
        <v>263</v>
      </c>
      <c r="I7" s="387" t="s">
        <v>263</v>
      </c>
      <c r="J7" s="387" t="s">
        <v>263</v>
      </c>
      <c r="K7" s="507" t="s">
        <v>263</v>
      </c>
      <c r="L7" s="507" t="s">
        <v>263</v>
      </c>
      <c r="M7" s="387" t="s">
        <v>263</v>
      </c>
      <c r="N7" s="508" t="s">
        <v>263</v>
      </c>
      <c r="O7" s="384" t="s">
        <v>263</v>
      </c>
      <c r="P7" s="384" t="s">
        <v>263</v>
      </c>
      <c r="Q7" s="507" t="s">
        <v>263</v>
      </c>
      <c r="R7" s="507" t="s">
        <v>263</v>
      </c>
      <c r="S7" s="507" t="s">
        <v>263</v>
      </c>
      <c r="T7" s="507" t="s">
        <v>263</v>
      </c>
      <c r="U7" s="507" t="s">
        <v>263</v>
      </c>
      <c r="V7" s="507" t="s">
        <v>263</v>
      </c>
      <c r="W7" s="507" t="s">
        <v>263</v>
      </c>
      <c r="X7" s="507" t="s">
        <v>263</v>
      </c>
      <c r="Y7" s="507" t="s">
        <v>263</v>
      </c>
      <c r="Z7" s="507" t="s">
        <v>263</v>
      </c>
      <c r="AA7" s="507" t="s">
        <v>263</v>
      </c>
      <c r="AB7" s="507" t="s">
        <v>263</v>
      </c>
      <c r="AC7" s="509" t="s">
        <v>263</v>
      </c>
    </row>
    <row r="8" spans="1:29" s="373" customFormat="1" ht="16.5" customHeight="1">
      <c r="A8" s="565"/>
      <c r="B8" s="566" t="s">
        <v>221</v>
      </c>
      <c r="C8" s="608">
        <f>SUM(D8:AC8)</f>
        <v>200994</v>
      </c>
      <c r="D8" s="567">
        <v>63403</v>
      </c>
      <c r="E8" s="567">
        <v>16099</v>
      </c>
      <c r="F8" s="568"/>
      <c r="G8" s="569">
        <v>7454</v>
      </c>
      <c r="H8" s="569">
        <v>5082</v>
      </c>
      <c r="I8" s="569">
        <v>6505</v>
      </c>
      <c r="J8" s="569">
        <v>9020</v>
      </c>
      <c r="K8" s="569"/>
      <c r="L8" s="569"/>
      <c r="M8" s="569"/>
      <c r="N8" s="569">
        <v>47145</v>
      </c>
      <c r="O8" s="569"/>
      <c r="P8" s="569">
        <v>825</v>
      </c>
      <c r="Q8" s="569">
        <v>7269</v>
      </c>
      <c r="R8" s="569"/>
      <c r="S8" s="569"/>
      <c r="T8" s="569"/>
      <c r="U8" s="569"/>
      <c r="V8" s="569"/>
      <c r="W8" s="569"/>
      <c r="X8" s="569"/>
      <c r="Y8" s="569"/>
      <c r="Z8" s="569">
        <v>15071</v>
      </c>
      <c r="AA8" s="569">
        <v>555</v>
      </c>
      <c r="AB8" s="568">
        <v>17524</v>
      </c>
      <c r="AC8" s="570">
        <v>5042</v>
      </c>
    </row>
    <row r="9" spans="1:29" ht="16.5" customHeight="1">
      <c r="A9" s="401"/>
      <c r="B9" s="423" t="s">
        <v>341</v>
      </c>
      <c r="C9" s="590">
        <f>SUM(D9:AC9)</f>
        <v>8234</v>
      </c>
      <c r="D9" s="571"/>
      <c r="E9" s="572"/>
      <c r="F9" s="573"/>
      <c r="G9" s="572"/>
      <c r="H9" s="572"/>
      <c r="I9" s="572"/>
      <c r="J9" s="572"/>
      <c r="K9" s="572">
        <v>8234</v>
      </c>
      <c r="L9" s="572"/>
      <c r="M9" s="572"/>
      <c r="N9" s="572"/>
      <c r="O9" s="572"/>
      <c r="P9" s="572"/>
      <c r="Q9" s="572"/>
      <c r="R9" s="572"/>
      <c r="S9" s="572"/>
      <c r="T9" s="572"/>
      <c r="U9" s="572"/>
      <c r="V9" s="572"/>
      <c r="W9" s="572"/>
      <c r="X9" s="572"/>
      <c r="Y9" s="572"/>
      <c r="Z9" s="572"/>
      <c r="AA9" s="572"/>
      <c r="AB9" s="573"/>
      <c r="AC9" s="574"/>
    </row>
    <row r="10" spans="1:29" s="373" customFormat="1" ht="14.25" customHeight="1">
      <c r="A10" s="575"/>
      <c r="B10" s="423" t="s">
        <v>69</v>
      </c>
      <c r="C10" s="590">
        <f>C11+C12+C13</f>
        <v>622725</v>
      </c>
      <c r="D10" s="571">
        <f>D11+D12+D13</f>
        <v>27663</v>
      </c>
      <c r="E10" s="572">
        <f>E11+E12+E13</f>
        <v>180971</v>
      </c>
      <c r="F10" s="573">
        <f aca="true" t="shared" si="0" ref="F10:AC10">F11+F12+F13</f>
        <v>55622</v>
      </c>
      <c r="G10" s="572">
        <f t="shared" si="0"/>
        <v>5587</v>
      </c>
      <c r="H10" s="572">
        <f t="shared" si="0"/>
        <v>6381</v>
      </c>
      <c r="I10" s="572">
        <f t="shared" si="0"/>
        <v>3957</v>
      </c>
      <c r="J10" s="572">
        <f t="shared" si="0"/>
        <v>4718</v>
      </c>
      <c r="K10" s="572">
        <f>K11+K12+K13</f>
        <v>0</v>
      </c>
      <c r="L10" s="572">
        <f>L11+L12+L13</f>
        <v>6201</v>
      </c>
      <c r="M10" s="572">
        <f t="shared" si="0"/>
        <v>3049</v>
      </c>
      <c r="N10" s="572">
        <f t="shared" si="0"/>
        <v>125602</v>
      </c>
      <c r="O10" s="572">
        <f>O11+O12+O13</f>
        <v>2776</v>
      </c>
      <c r="P10" s="572">
        <f t="shared" si="0"/>
        <v>7245</v>
      </c>
      <c r="Q10" s="572">
        <f t="shared" si="0"/>
        <v>2981</v>
      </c>
      <c r="R10" s="572">
        <f t="shared" si="0"/>
        <v>4281</v>
      </c>
      <c r="S10" s="572">
        <f t="shared" si="0"/>
        <v>800</v>
      </c>
      <c r="T10" s="572">
        <f t="shared" si="0"/>
        <v>2600</v>
      </c>
      <c r="U10" s="572">
        <f t="shared" si="0"/>
        <v>900</v>
      </c>
      <c r="V10" s="572">
        <f t="shared" si="0"/>
        <v>1100</v>
      </c>
      <c r="W10" s="572">
        <f t="shared" si="0"/>
        <v>1000</v>
      </c>
      <c r="X10" s="572">
        <f t="shared" si="0"/>
        <v>800</v>
      </c>
      <c r="Y10" s="572">
        <f t="shared" si="0"/>
        <v>1000</v>
      </c>
      <c r="Z10" s="572">
        <f t="shared" si="0"/>
        <v>25115</v>
      </c>
      <c r="AA10" s="572">
        <f t="shared" si="0"/>
        <v>0</v>
      </c>
      <c r="AB10" s="572">
        <f t="shared" si="0"/>
        <v>107318</v>
      </c>
      <c r="AC10" s="574">
        <f t="shared" si="0"/>
        <v>45058</v>
      </c>
    </row>
    <row r="11" spans="1:29" ht="16.5" customHeight="1">
      <c r="A11" s="764" t="s">
        <v>510</v>
      </c>
      <c r="B11" s="442" t="s">
        <v>231</v>
      </c>
      <c r="C11" s="609">
        <f>SUM(D11:AC11)</f>
        <v>557126</v>
      </c>
      <c r="D11" s="576">
        <v>27663</v>
      </c>
      <c r="E11" s="577">
        <f>183582-2611</f>
        <v>180971</v>
      </c>
      <c r="F11" s="578"/>
      <c r="G11" s="577">
        <v>5587</v>
      </c>
      <c r="H11" s="577">
        <v>6381</v>
      </c>
      <c r="I11" s="577">
        <v>3957</v>
      </c>
      <c r="J11" s="577">
        <v>4718</v>
      </c>
      <c r="K11" s="577"/>
      <c r="L11" s="577"/>
      <c r="M11" s="577">
        <v>3049</v>
      </c>
      <c r="N11" s="577">
        <f>128810-3208</f>
        <v>125602</v>
      </c>
      <c r="O11" s="577"/>
      <c r="P11" s="577">
        <v>7245</v>
      </c>
      <c r="Q11" s="577">
        <v>2981</v>
      </c>
      <c r="R11" s="577">
        <v>4281</v>
      </c>
      <c r="S11" s="577">
        <v>800</v>
      </c>
      <c r="T11" s="577">
        <v>2600</v>
      </c>
      <c r="U11" s="577">
        <v>900</v>
      </c>
      <c r="V11" s="577">
        <v>1100</v>
      </c>
      <c r="W11" s="577">
        <v>1000</v>
      </c>
      <c r="X11" s="577">
        <v>800</v>
      </c>
      <c r="Y11" s="577"/>
      <c r="Z11" s="577">
        <v>25115</v>
      </c>
      <c r="AA11" s="577"/>
      <c r="AB11" s="572">
        <f>96120+11198</f>
        <v>107318</v>
      </c>
      <c r="AC11" s="579">
        <f>34958+10100</f>
        <v>45058</v>
      </c>
    </row>
    <row r="12" spans="1:29" ht="12" customHeight="1">
      <c r="A12" s="764" t="s">
        <v>511</v>
      </c>
      <c r="B12" s="423" t="s">
        <v>42</v>
      </c>
      <c r="C12" s="609">
        <f>SUM(D12:AC12)</f>
        <v>55622</v>
      </c>
      <c r="D12" s="571"/>
      <c r="E12" s="572"/>
      <c r="F12" s="580">
        <v>55622</v>
      </c>
      <c r="G12" s="572"/>
      <c r="H12" s="572"/>
      <c r="I12" s="572"/>
      <c r="J12" s="572"/>
      <c r="K12" s="572"/>
      <c r="L12" s="572"/>
      <c r="M12" s="572"/>
      <c r="N12" s="572"/>
      <c r="O12" s="572"/>
      <c r="P12" s="572"/>
      <c r="Q12" s="572"/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80"/>
      <c r="AC12" s="581"/>
    </row>
    <row r="13" spans="1:29" ht="12" customHeight="1" thickBot="1">
      <c r="A13" s="764" t="s">
        <v>512</v>
      </c>
      <c r="B13" s="431" t="s">
        <v>9</v>
      </c>
      <c r="C13" s="609">
        <f>SUM(D13:AC13)</f>
        <v>9977</v>
      </c>
      <c r="D13" s="576"/>
      <c r="E13" s="577"/>
      <c r="F13" s="580"/>
      <c r="G13" s="577"/>
      <c r="H13" s="577"/>
      <c r="I13" s="577"/>
      <c r="J13" s="577"/>
      <c r="K13" s="577"/>
      <c r="L13" s="577">
        <v>6201</v>
      </c>
      <c r="M13" s="577"/>
      <c r="N13" s="577"/>
      <c r="O13" s="577">
        <v>2776</v>
      </c>
      <c r="P13" s="577"/>
      <c r="Q13" s="577"/>
      <c r="R13" s="577"/>
      <c r="S13" s="577"/>
      <c r="T13" s="577"/>
      <c r="U13" s="577"/>
      <c r="V13" s="577"/>
      <c r="W13" s="577"/>
      <c r="X13" s="577"/>
      <c r="Y13" s="577">
        <v>1000</v>
      </c>
      <c r="Z13" s="577"/>
      <c r="AA13" s="577"/>
      <c r="AB13" s="580"/>
      <c r="AC13" s="581"/>
    </row>
    <row r="14" spans="1:29" s="373" customFormat="1" ht="15.75" customHeight="1" thickBot="1">
      <c r="A14" s="381"/>
      <c r="B14" s="416" t="s">
        <v>41</v>
      </c>
      <c r="C14" s="540">
        <f>SUM(C9:C10)</f>
        <v>630959</v>
      </c>
      <c r="D14" s="541">
        <f>SUM(D9:D10)</f>
        <v>27663</v>
      </c>
      <c r="E14" s="542">
        <f>SUM(E9:E10)</f>
        <v>180971</v>
      </c>
      <c r="F14" s="543">
        <f>SUM(F9:F10)</f>
        <v>55622</v>
      </c>
      <c r="G14" s="544">
        <f>SUM(G9:G10)</f>
        <v>5587</v>
      </c>
      <c r="H14" s="542">
        <f>SUM(H9:H10)</f>
        <v>6381</v>
      </c>
      <c r="I14" s="542">
        <f>SUM(I9:I10)</f>
        <v>3957</v>
      </c>
      <c r="J14" s="542">
        <f>SUM(J9:J10)</f>
        <v>4718</v>
      </c>
      <c r="K14" s="542">
        <f>SUM(K9:K10)</f>
        <v>8234</v>
      </c>
      <c r="L14" s="542">
        <f>SUM(L9:L10)</f>
        <v>6201</v>
      </c>
      <c r="M14" s="542">
        <f>SUM(M9:M10)</f>
        <v>3049</v>
      </c>
      <c r="N14" s="542">
        <f>SUM(N9:N10)</f>
        <v>125602</v>
      </c>
      <c r="O14" s="542">
        <f>SUM(O9:O10)</f>
        <v>2776</v>
      </c>
      <c r="P14" s="542">
        <f>SUM(P9:P10)</f>
        <v>7245</v>
      </c>
      <c r="Q14" s="542">
        <f>SUM(Q9:Q10)</f>
        <v>2981</v>
      </c>
      <c r="R14" s="542">
        <f>SUM(R9:R10)</f>
        <v>4281</v>
      </c>
      <c r="S14" s="542">
        <f aca="true" t="shared" si="1" ref="S14:Y14">SUM(S9:S10)</f>
        <v>800</v>
      </c>
      <c r="T14" s="542">
        <f t="shared" si="1"/>
        <v>2600</v>
      </c>
      <c r="U14" s="542">
        <f t="shared" si="1"/>
        <v>900</v>
      </c>
      <c r="V14" s="542">
        <f t="shared" si="1"/>
        <v>1100</v>
      </c>
      <c r="W14" s="542">
        <f t="shared" si="1"/>
        <v>1000</v>
      </c>
      <c r="X14" s="542">
        <f t="shared" si="1"/>
        <v>800</v>
      </c>
      <c r="Y14" s="542">
        <f t="shared" si="1"/>
        <v>1000</v>
      </c>
      <c r="Z14" s="542">
        <f>SUM(Z9:Z10)</f>
        <v>25115</v>
      </c>
      <c r="AA14" s="542">
        <f>SUM(AA9:AA10)</f>
        <v>0</v>
      </c>
      <c r="AB14" s="542">
        <f>SUM(AB9:AB10)</f>
        <v>107318</v>
      </c>
      <c r="AC14" s="542">
        <f>SUM(AC9:AC10)</f>
        <v>45058</v>
      </c>
    </row>
    <row r="15" spans="1:29" s="373" customFormat="1" ht="15" customHeight="1" thickBot="1">
      <c r="A15" s="427"/>
      <c r="B15" s="428" t="s">
        <v>343</v>
      </c>
      <c r="C15" s="545">
        <f>SUM(C8+C14)</f>
        <v>831953</v>
      </c>
      <c r="D15" s="546">
        <f aca="true" t="shared" si="2" ref="D15:AC15">SUM(D8+D14)</f>
        <v>91066</v>
      </c>
      <c r="E15" s="545">
        <f>SUM(E8+E14)</f>
        <v>197070</v>
      </c>
      <c r="F15" s="547">
        <f t="shared" si="2"/>
        <v>55622</v>
      </c>
      <c r="G15" s="548">
        <f t="shared" si="2"/>
        <v>13041</v>
      </c>
      <c r="H15" s="545">
        <f t="shared" si="2"/>
        <v>11463</v>
      </c>
      <c r="I15" s="545">
        <f t="shared" si="2"/>
        <v>10462</v>
      </c>
      <c r="J15" s="545">
        <f t="shared" si="2"/>
        <v>13738</v>
      </c>
      <c r="K15" s="545">
        <f>SUM(K8+K14)</f>
        <v>8234</v>
      </c>
      <c r="L15" s="545">
        <f>SUM(L8+L14)</f>
        <v>6201</v>
      </c>
      <c r="M15" s="545">
        <f t="shared" si="2"/>
        <v>3049</v>
      </c>
      <c r="N15" s="545">
        <f t="shared" si="2"/>
        <v>172747</v>
      </c>
      <c r="O15" s="545">
        <f t="shared" si="2"/>
        <v>2776</v>
      </c>
      <c r="P15" s="545">
        <f t="shared" si="2"/>
        <v>8070</v>
      </c>
      <c r="Q15" s="545">
        <f>SUM(Q8+Q14)</f>
        <v>10250</v>
      </c>
      <c r="R15" s="545">
        <f>SUM(R8+R14)</f>
        <v>4281</v>
      </c>
      <c r="S15" s="545">
        <f>SUM(S8+S14)</f>
        <v>800</v>
      </c>
      <c r="T15" s="545">
        <f aca="true" t="shared" si="3" ref="T15:Y15">SUM(T8+T14)</f>
        <v>2600</v>
      </c>
      <c r="U15" s="545">
        <f t="shared" si="3"/>
        <v>900</v>
      </c>
      <c r="V15" s="545">
        <f t="shared" si="3"/>
        <v>1100</v>
      </c>
      <c r="W15" s="545">
        <f t="shared" si="3"/>
        <v>1000</v>
      </c>
      <c r="X15" s="545">
        <f t="shared" si="3"/>
        <v>800</v>
      </c>
      <c r="Y15" s="545">
        <f t="shared" si="3"/>
        <v>1000</v>
      </c>
      <c r="Z15" s="545">
        <f t="shared" si="2"/>
        <v>40186</v>
      </c>
      <c r="AA15" s="545">
        <f t="shared" si="2"/>
        <v>555</v>
      </c>
      <c r="AB15" s="545">
        <f>SUM(AB8+AB14)</f>
        <v>124842</v>
      </c>
      <c r="AC15" s="545">
        <f t="shared" si="2"/>
        <v>50100</v>
      </c>
    </row>
    <row r="16" spans="1:29" ht="6.75" customHeight="1" outlineLevel="1" thickBot="1">
      <c r="A16" s="522"/>
      <c r="B16" s="420"/>
      <c r="C16" s="582"/>
      <c r="D16" s="583"/>
      <c r="E16" s="583"/>
      <c r="F16" s="583"/>
      <c r="G16" s="583"/>
      <c r="H16" s="583"/>
      <c r="I16" s="583"/>
      <c r="J16" s="583"/>
      <c r="K16" s="583"/>
      <c r="L16" s="583"/>
      <c r="M16" s="583"/>
      <c r="N16" s="583"/>
      <c r="O16" s="583"/>
      <c r="P16" s="583"/>
      <c r="Q16" s="583"/>
      <c r="R16" s="583"/>
      <c r="S16" s="583"/>
      <c r="T16" s="583"/>
      <c r="U16" s="583"/>
      <c r="V16" s="583"/>
      <c r="W16" s="583"/>
      <c r="X16" s="583"/>
      <c r="Y16" s="583"/>
      <c r="Z16" s="583"/>
      <c r="AA16" s="583"/>
      <c r="AB16" s="583"/>
      <c r="AC16" s="584"/>
    </row>
    <row r="17" spans="1:29" ht="16.5" customHeight="1" outlineLevel="1" thickBot="1">
      <c r="A17" s="565" t="s">
        <v>7</v>
      </c>
      <c r="B17" s="585" t="s">
        <v>10</v>
      </c>
      <c r="C17" s="586" t="s">
        <v>36</v>
      </c>
      <c r="D17" s="587" t="s">
        <v>263</v>
      </c>
      <c r="E17" s="587" t="s">
        <v>263</v>
      </c>
      <c r="F17" s="587" t="s">
        <v>263</v>
      </c>
      <c r="G17" s="587" t="s">
        <v>263</v>
      </c>
      <c r="H17" s="587" t="s">
        <v>263</v>
      </c>
      <c r="I17" s="587" t="s">
        <v>263</v>
      </c>
      <c r="J17" s="587" t="s">
        <v>263</v>
      </c>
      <c r="K17" s="587" t="s">
        <v>263</v>
      </c>
      <c r="L17" s="587" t="s">
        <v>263</v>
      </c>
      <c r="M17" s="587" t="s">
        <v>263</v>
      </c>
      <c r="N17" s="587" t="s">
        <v>263</v>
      </c>
      <c r="O17" s="587" t="s">
        <v>263</v>
      </c>
      <c r="P17" s="587" t="s">
        <v>263</v>
      </c>
      <c r="Q17" s="587" t="s">
        <v>263</v>
      </c>
      <c r="R17" s="587" t="s">
        <v>263</v>
      </c>
      <c r="S17" s="587" t="s">
        <v>263</v>
      </c>
      <c r="T17" s="587" t="s">
        <v>263</v>
      </c>
      <c r="U17" s="587" t="s">
        <v>263</v>
      </c>
      <c r="V17" s="587" t="s">
        <v>263</v>
      </c>
      <c r="W17" s="587" t="s">
        <v>263</v>
      </c>
      <c r="X17" s="587" t="s">
        <v>263</v>
      </c>
      <c r="Y17" s="587" t="s">
        <v>263</v>
      </c>
      <c r="Z17" s="587" t="s">
        <v>263</v>
      </c>
      <c r="AA17" s="587" t="s">
        <v>263</v>
      </c>
      <c r="AB17" s="587" t="s">
        <v>263</v>
      </c>
      <c r="AC17" s="587" t="s">
        <v>263</v>
      </c>
    </row>
    <row r="18" spans="1:29" s="373" customFormat="1" ht="15" customHeight="1" outlineLevel="1">
      <c r="A18" s="588">
        <v>1100</v>
      </c>
      <c r="B18" s="589" t="s">
        <v>11</v>
      </c>
      <c r="C18" s="610">
        <f>SUM(D18:AC18)</f>
        <v>375978</v>
      </c>
      <c r="D18" s="765">
        <v>51133</v>
      </c>
      <c r="E18" s="766">
        <f>160111-18727</f>
        <v>141384</v>
      </c>
      <c r="F18" s="569">
        <v>340</v>
      </c>
      <c r="G18" s="569"/>
      <c r="H18" s="569"/>
      <c r="I18" s="569">
        <f>400+982</f>
        <v>1382</v>
      </c>
      <c r="J18" s="569"/>
      <c r="K18" s="569"/>
      <c r="L18" s="569"/>
      <c r="M18" s="569">
        <v>622</v>
      </c>
      <c r="N18" s="569">
        <f>141380-2585</f>
        <v>138795</v>
      </c>
      <c r="O18" s="569"/>
      <c r="P18" s="569">
        <v>1000</v>
      </c>
      <c r="Q18" s="569"/>
      <c r="R18" s="569">
        <v>105</v>
      </c>
      <c r="S18" s="569"/>
      <c r="T18" s="569"/>
      <c r="U18" s="569"/>
      <c r="V18" s="569"/>
      <c r="W18" s="569"/>
      <c r="X18" s="569"/>
      <c r="Y18" s="569">
        <v>806</v>
      </c>
      <c r="Z18" s="569">
        <f>7000-6097</f>
        <v>903</v>
      </c>
      <c r="AA18" s="569"/>
      <c r="AB18" s="568">
        <f>11900+8000</f>
        <v>19900</v>
      </c>
      <c r="AC18" s="570">
        <f>12088+7520</f>
        <v>19608</v>
      </c>
    </row>
    <row r="19" spans="1:29" s="373" customFormat="1" ht="17.25" customHeight="1" outlineLevel="1">
      <c r="A19" s="443">
        <v>1200</v>
      </c>
      <c r="B19" s="426" t="s">
        <v>12</v>
      </c>
      <c r="C19" s="590">
        <f>SUM(D19:AC19)</f>
        <v>91845</v>
      </c>
      <c r="D19" s="767">
        <v>12318</v>
      </c>
      <c r="E19" s="768">
        <f>38570-3884</f>
        <v>34686</v>
      </c>
      <c r="F19" s="572">
        <v>78</v>
      </c>
      <c r="G19" s="572"/>
      <c r="H19" s="572"/>
      <c r="I19" s="572">
        <f>90+204</f>
        <v>294</v>
      </c>
      <c r="J19" s="572"/>
      <c r="K19" s="572"/>
      <c r="L19" s="572"/>
      <c r="M19" s="572">
        <v>278</v>
      </c>
      <c r="N19" s="572">
        <f>34065-623</f>
        <v>33442</v>
      </c>
      <c r="O19" s="572"/>
      <c r="P19" s="572">
        <v>250</v>
      </c>
      <c r="Q19" s="572"/>
      <c r="R19" s="572">
        <v>26</v>
      </c>
      <c r="S19" s="572"/>
      <c r="T19" s="572"/>
      <c r="U19" s="572"/>
      <c r="V19" s="572"/>
      <c r="W19" s="572"/>
      <c r="X19" s="572"/>
      <c r="Y19" s="572">
        <v>194</v>
      </c>
      <c r="Z19" s="572">
        <f>1687-1469</f>
        <v>218</v>
      </c>
      <c r="AA19" s="572"/>
      <c r="AB19" s="573">
        <f>2867+2702</f>
        <v>5569</v>
      </c>
      <c r="AC19" s="574">
        <f>2912+1580</f>
        <v>4492</v>
      </c>
    </row>
    <row r="20" spans="1:29" s="373" customFormat="1" ht="12" customHeight="1" outlineLevel="1">
      <c r="A20" s="443">
        <v>2000</v>
      </c>
      <c r="B20" s="423" t="s">
        <v>13</v>
      </c>
      <c r="C20" s="590">
        <f aca="true" t="shared" si="4" ref="C20:AC20">SUM(C21+C22+C23+C24+C25)</f>
        <v>222400</v>
      </c>
      <c r="D20" s="576">
        <f>SUM(D21+D22+D23+D24+D25)</f>
        <v>27615</v>
      </c>
      <c r="E20" s="577">
        <f>SUM(E21+E22+E23+E24+E25)</f>
        <v>1000</v>
      </c>
      <c r="F20" s="572">
        <f t="shared" si="4"/>
        <v>55204</v>
      </c>
      <c r="G20" s="572">
        <f t="shared" si="4"/>
        <v>13041</v>
      </c>
      <c r="H20" s="572">
        <f t="shared" si="4"/>
        <v>11463</v>
      </c>
      <c r="I20" s="572">
        <f t="shared" si="4"/>
        <v>8786</v>
      </c>
      <c r="J20" s="572">
        <f t="shared" si="4"/>
        <v>13738</v>
      </c>
      <c r="K20" s="572">
        <f t="shared" si="4"/>
        <v>8234</v>
      </c>
      <c r="L20" s="572">
        <f t="shared" si="4"/>
        <v>6201</v>
      </c>
      <c r="M20" s="572">
        <f t="shared" si="4"/>
        <v>2149</v>
      </c>
      <c r="N20" s="572">
        <f t="shared" si="4"/>
        <v>510</v>
      </c>
      <c r="O20" s="572">
        <f t="shared" si="4"/>
        <v>2776</v>
      </c>
      <c r="P20" s="572">
        <f t="shared" si="4"/>
        <v>6820</v>
      </c>
      <c r="Q20" s="572">
        <f t="shared" si="4"/>
        <v>9650</v>
      </c>
      <c r="R20" s="572">
        <f t="shared" si="4"/>
        <v>4150</v>
      </c>
      <c r="S20" s="572">
        <f t="shared" si="4"/>
        <v>800</v>
      </c>
      <c r="T20" s="572">
        <f t="shared" si="4"/>
        <v>2600</v>
      </c>
      <c r="U20" s="572">
        <f t="shared" si="4"/>
        <v>900</v>
      </c>
      <c r="V20" s="572">
        <f t="shared" si="4"/>
        <v>1100</v>
      </c>
      <c r="W20" s="572">
        <f t="shared" si="4"/>
        <v>1000</v>
      </c>
      <c r="X20" s="572">
        <f t="shared" si="4"/>
        <v>800</v>
      </c>
      <c r="Y20" s="572">
        <f t="shared" si="4"/>
        <v>0</v>
      </c>
      <c r="Z20" s="572">
        <f t="shared" si="4"/>
        <v>39065</v>
      </c>
      <c r="AA20" s="572">
        <f t="shared" si="4"/>
        <v>555</v>
      </c>
      <c r="AB20" s="572">
        <f t="shared" si="4"/>
        <v>4243</v>
      </c>
      <c r="AC20" s="574">
        <f t="shared" si="4"/>
        <v>0</v>
      </c>
    </row>
    <row r="21" spans="1:29" s="373" customFormat="1" ht="12" customHeight="1" outlineLevel="1">
      <c r="A21" s="443">
        <v>2100</v>
      </c>
      <c r="B21" s="423" t="s">
        <v>14</v>
      </c>
      <c r="C21" s="590">
        <f>SUM(D21:AC21)</f>
        <v>58147</v>
      </c>
      <c r="D21" s="571"/>
      <c r="E21" s="572"/>
      <c r="F21" s="572"/>
      <c r="G21" s="572">
        <v>11000</v>
      </c>
      <c r="H21" s="572">
        <f>8000-346</f>
        <v>7654</v>
      </c>
      <c r="I21" s="572">
        <v>7061</v>
      </c>
      <c r="J21" s="572">
        <v>11983</v>
      </c>
      <c r="K21" s="572"/>
      <c r="L21" s="572">
        <v>6051</v>
      </c>
      <c r="M21" s="572"/>
      <c r="N21" s="572"/>
      <c r="O21" s="572"/>
      <c r="P21" s="572">
        <f>652+1550</f>
        <v>2202</v>
      </c>
      <c r="Q21" s="572">
        <v>8449</v>
      </c>
      <c r="R21" s="572"/>
      <c r="S21" s="572"/>
      <c r="T21" s="572"/>
      <c r="U21" s="572"/>
      <c r="V21" s="572"/>
      <c r="W21" s="572"/>
      <c r="X21" s="572"/>
      <c r="Y21" s="572"/>
      <c r="Z21" s="572"/>
      <c r="AA21" s="572"/>
      <c r="AB21" s="573">
        <v>3747</v>
      </c>
      <c r="AC21" s="574"/>
    </row>
    <row r="22" spans="1:29" ht="12" customHeight="1" outlineLevel="1">
      <c r="A22" s="443">
        <v>2200</v>
      </c>
      <c r="B22" s="423" t="s">
        <v>15</v>
      </c>
      <c r="C22" s="590">
        <f>SUM(D22:AC22)</f>
        <v>151449</v>
      </c>
      <c r="D22" s="571">
        <f>27615-500</f>
        <v>27115</v>
      </c>
      <c r="E22" s="572">
        <v>1000</v>
      </c>
      <c r="F22" s="572">
        <f>55622-418</f>
        <v>55204</v>
      </c>
      <c r="G22" s="572">
        <v>2041</v>
      </c>
      <c r="H22" s="572">
        <v>3463</v>
      </c>
      <c r="I22" s="572">
        <f>2011-1186</f>
        <v>825</v>
      </c>
      <c r="J22" s="572">
        <v>1204</v>
      </c>
      <c r="K22" s="572">
        <v>8234</v>
      </c>
      <c r="L22" s="572"/>
      <c r="M22" s="572">
        <v>749</v>
      </c>
      <c r="N22" s="572">
        <v>510</v>
      </c>
      <c r="O22" s="572"/>
      <c r="P22" s="572">
        <f>4768-1550</f>
        <v>3218</v>
      </c>
      <c r="Q22" s="572">
        <v>721</v>
      </c>
      <c r="R22" s="572">
        <v>2500</v>
      </c>
      <c r="S22" s="572">
        <v>800</v>
      </c>
      <c r="T22" s="572">
        <v>2600</v>
      </c>
      <c r="U22" s="572">
        <v>900</v>
      </c>
      <c r="V22" s="572">
        <v>1100</v>
      </c>
      <c r="W22" s="572">
        <v>1000</v>
      </c>
      <c r="X22" s="572">
        <v>800</v>
      </c>
      <c r="Y22" s="572"/>
      <c r="Z22" s="572">
        <f>6284+31181</f>
        <v>37465</v>
      </c>
      <c r="AA22" s="572"/>
      <c r="AB22" s="573"/>
      <c r="AC22" s="574"/>
    </row>
    <row r="23" spans="1:29" s="373" customFormat="1" ht="12" customHeight="1" outlineLevel="1">
      <c r="A23" s="443">
        <v>2300</v>
      </c>
      <c r="B23" s="423" t="s">
        <v>16</v>
      </c>
      <c r="C23" s="590">
        <f>SUM(D23:AC23)</f>
        <v>12804</v>
      </c>
      <c r="D23" s="571">
        <v>500</v>
      </c>
      <c r="E23" s="572"/>
      <c r="F23" s="572"/>
      <c r="G23" s="572"/>
      <c r="H23" s="572">
        <v>346</v>
      </c>
      <c r="I23" s="572">
        <v>900</v>
      </c>
      <c r="J23" s="572">
        <v>551</v>
      </c>
      <c r="K23" s="572"/>
      <c r="L23" s="572">
        <v>150</v>
      </c>
      <c r="M23" s="572">
        <v>1400</v>
      </c>
      <c r="N23" s="572"/>
      <c r="O23" s="572">
        <v>2776</v>
      </c>
      <c r="P23" s="572">
        <v>1400</v>
      </c>
      <c r="Q23" s="572">
        <v>480</v>
      </c>
      <c r="R23" s="572">
        <v>1650</v>
      </c>
      <c r="S23" s="572"/>
      <c r="T23" s="572"/>
      <c r="U23" s="572"/>
      <c r="V23" s="572"/>
      <c r="W23" s="572"/>
      <c r="X23" s="572"/>
      <c r="Y23" s="572"/>
      <c r="Z23" s="572">
        <f>100+1500</f>
        <v>1600</v>
      </c>
      <c r="AA23" s="572">
        <v>555</v>
      </c>
      <c r="AB23" s="573">
        <v>496</v>
      </c>
      <c r="AC23" s="574"/>
    </row>
    <row r="24" spans="1:29" s="373" customFormat="1" ht="12" customHeight="1" outlineLevel="1">
      <c r="A24" s="443">
        <v>2400</v>
      </c>
      <c r="B24" s="423" t="s">
        <v>224</v>
      </c>
      <c r="C24" s="590">
        <f aca="true" t="shared" si="5" ref="C24:C29">SUM(D24:AA24)</f>
        <v>0</v>
      </c>
      <c r="D24" s="571"/>
      <c r="E24" s="572"/>
      <c r="F24" s="572"/>
      <c r="G24" s="572"/>
      <c r="H24" s="572"/>
      <c r="I24" s="572"/>
      <c r="J24" s="572"/>
      <c r="K24" s="572"/>
      <c r="L24" s="572"/>
      <c r="M24" s="572"/>
      <c r="N24" s="572"/>
      <c r="O24" s="572"/>
      <c r="P24" s="572"/>
      <c r="Q24" s="572"/>
      <c r="R24" s="572"/>
      <c r="S24" s="572"/>
      <c r="T24" s="572"/>
      <c r="U24" s="572"/>
      <c r="V24" s="572"/>
      <c r="W24" s="572"/>
      <c r="X24" s="572"/>
      <c r="Y24" s="572"/>
      <c r="Z24" s="572"/>
      <c r="AA24" s="572"/>
      <c r="AB24" s="573"/>
      <c r="AC24" s="574"/>
    </row>
    <row r="25" spans="1:29" s="373" customFormat="1" ht="45" outlineLevel="1">
      <c r="A25" s="443">
        <v>2500</v>
      </c>
      <c r="B25" s="74" t="s">
        <v>342</v>
      </c>
      <c r="C25" s="590">
        <f t="shared" si="5"/>
        <v>0</v>
      </c>
      <c r="D25" s="571"/>
      <c r="E25" s="572"/>
      <c r="F25" s="572"/>
      <c r="G25" s="572"/>
      <c r="H25" s="572"/>
      <c r="I25" s="572"/>
      <c r="J25" s="572"/>
      <c r="K25" s="572"/>
      <c r="L25" s="572"/>
      <c r="M25" s="572"/>
      <c r="N25" s="572"/>
      <c r="O25" s="572"/>
      <c r="P25" s="572"/>
      <c r="Q25" s="572"/>
      <c r="R25" s="572"/>
      <c r="S25" s="572"/>
      <c r="T25" s="572"/>
      <c r="U25" s="572"/>
      <c r="V25" s="572"/>
      <c r="W25" s="572"/>
      <c r="X25" s="572"/>
      <c r="Y25" s="572"/>
      <c r="Z25" s="572"/>
      <c r="AA25" s="572"/>
      <c r="AB25" s="573"/>
      <c r="AC25" s="574"/>
    </row>
    <row r="26" spans="1:29" s="373" customFormat="1" ht="12" customHeight="1" outlineLevel="1">
      <c r="A26" s="443">
        <v>3200</v>
      </c>
      <c r="B26" s="423" t="s">
        <v>225</v>
      </c>
      <c r="C26" s="590">
        <f t="shared" si="5"/>
        <v>20000</v>
      </c>
      <c r="D26" s="571"/>
      <c r="E26" s="572">
        <v>20000</v>
      </c>
      <c r="F26" s="572"/>
      <c r="G26" s="572"/>
      <c r="H26" s="572"/>
      <c r="I26" s="572"/>
      <c r="J26" s="572"/>
      <c r="K26" s="572"/>
      <c r="L26" s="572"/>
      <c r="M26" s="572"/>
      <c r="N26" s="572"/>
      <c r="O26" s="572"/>
      <c r="P26" s="572"/>
      <c r="Q26" s="572"/>
      <c r="R26" s="572"/>
      <c r="S26" s="572"/>
      <c r="T26" s="572"/>
      <c r="U26" s="572"/>
      <c r="V26" s="572"/>
      <c r="W26" s="572"/>
      <c r="X26" s="572"/>
      <c r="Y26" s="572"/>
      <c r="Z26" s="572"/>
      <c r="AA26" s="572"/>
      <c r="AB26" s="573"/>
      <c r="AC26" s="574"/>
    </row>
    <row r="27" spans="1:29" s="373" customFormat="1" ht="12" customHeight="1" outlineLevel="1">
      <c r="A27" s="443">
        <v>4300</v>
      </c>
      <c r="B27" s="423" t="s">
        <v>21</v>
      </c>
      <c r="C27" s="590">
        <f t="shared" si="5"/>
        <v>0</v>
      </c>
      <c r="D27" s="571"/>
      <c r="E27" s="572"/>
      <c r="F27" s="572"/>
      <c r="G27" s="572"/>
      <c r="H27" s="572"/>
      <c r="I27" s="572"/>
      <c r="J27" s="572"/>
      <c r="K27" s="572"/>
      <c r="L27" s="572"/>
      <c r="M27" s="572"/>
      <c r="N27" s="572"/>
      <c r="O27" s="572"/>
      <c r="P27" s="572"/>
      <c r="Q27" s="572"/>
      <c r="R27" s="572"/>
      <c r="S27" s="572"/>
      <c r="T27" s="572"/>
      <c r="U27" s="572"/>
      <c r="V27" s="572"/>
      <c r="W27" s="572"/>
      <c r="X27" s="572"/>
      <c r="Y27" s="572"/>
      <c r="Z27" s="572"/>
      <c r="AA27" s="572"/>
      <c r="AB27" s="573"/>
      <c r="AC27" s="574"/>
    </row>
    <row r="28" spans="1:29" s="373" customFormat="1" ht="12" customHeight="1" outlineLevel="1">
      <c r="A28" s="443">
        <v>5100</v>
      </c>
      <c r="B28" s="423" t="s">
        <v>22</v>
      </c>
      <c r="C28" s="590">
        <f t="shared" si="5"/>
        <v>0</v>
      </c>
      <c r="D28" s="571"/>
      <c r="E28" s="572"/>
      <c r="F28" s="572"/>
      <c r="G28" s="572"/>
      <c r="H28" s="572"/>
      <c r="I28" s="572"/>
      <c r="J28" s="572"/>
      <c r="K28" s="572"/>
      <c r="L28" s="572"/>
      <c r="M28" s="572"/>
      <c r="N28" s="572"/>
      <c r="O28" s="572"/>
      <c r="P28" s="572"/>
      <c r="Q28" s="572"/>
      <c r="R28" s="572"/>
      <c r="S28" s="572"/>
      <c r="T28" s="572"/>
      <c r="U28" s="572"/>
      <c r="V28" s="572"/>
      <c r="W28" s="572"/>
      <c r="X28" s="572"/>
      <c r="Y28" s="572"/>
      <c r="Z28" s="572"/>
      <c r="AA28" s="572"/>
      <c r="AB28" s="573"/>
      <c r="AC28" s="574"/>
    </row>
    <row r="29" spans="1:29" s="373" customFormat="1" ht="12" customHeight="1" outlineLevel="1">
      <c r="A29" s="443">
        <v>5200</v>
      </c>
      <c r="B29" s="423" t="s">
        <v>23</v>
      </c>
      <c r="C29" s="590">
        <f t="shared" si="5"/>
        <v>600</v>
      </c>
      <c r="D29" s="571"/>
      <c r="E29" s="572"/>
      <c r="F29" s="572"/>
      <c r="G29" s="572"/>
      <c r="H29" s="572"/>
      <c r="I29" s="572"/>
      <c r="J29" s="572"/>
      <c r="K29" s="572"/>
      <c r="L29" s="572"/>
      <c r="M29" s="572"/>
      <c r="N29" s="572"/>
      <c r="O29" s="572"/>
      <c r="P29" s="572"/>
      <c r="Q29" s="572">
        <v>600</v>
      </c>
      <c r="R29" s="572"/>
      <c r="S29" s="572"/>
      <c r="T29" s="572"/>
      <c r="U29" s="572"/>
      <c r="V29" s="572"/>
      <c r="W29" s="572"/>
      <c r="X29" s="572"/>
      <c r="Y29" s="572"/>
      <c r="Z29" s="572"/>
      <c r="AA29" s="572"/>
      <c r="AB29" s="573"/>
      <c r="AC29" s="574"/>
    </row>
    <row r="30" spans="1:29" s="373" customFormat="1" ht="12" customHeight="1" outlineLevel="1">
      <c r="A30" s="443">
        <v>6400</v>
      </c>
      <c r="B30" s="444" t="s">
        <v>24</v>
      </c>
      <c r="C30" s="590">
        <f>SUM(D30:AC30)</f>
        <v>121130</v>
      </c>
      <c r="D30" s="571"/>
      <c r="E30" s="572"/>
      <c r="F30" s="572"/>
      <c r="G30" s="572"/>
      <c r="H30" s="572"/>
      <c r="I30" s="572"/>
      <c r="J30" s="572"/>
      <c r="K30" s="572"/>
      <c r="L30" s="572"/>
      <c r="M30" s="572"/>
      <c r="N30" s="572"/>
      <c r="O30" s="572"/>
      <c r="P30" s="572"/>
      <c r="Q30" s="572"/>
      <c r="R30" s="572"/>
      <c r="S30" s="572"/>
      <c r="T30" s="572"/>
      <c r="U30" s="572"/>
      <c r="V30" s="572"/>
      <c r="W30" s="572"/>
      <c r="X30" s="572"/>
      <c r="Y30" s="572"/>
      <c r="Z30" s="572"/>
      <c r="AA30" s="572"/>
      <c r="AB30" s="573">
        <v>95130</v>
      </c>
      <c r="AC30" s="574">
        <f>25000+1000</f>
        <v>26000</v>
      </c>
    </row>
    <row r="31" spans="1:29" s="373" customFormat="1" ht="12" customHeight="1" outlineLevel="1">
      <c r="A31" s="591">
        <v>7200</v>
      </c>
      <c r="B31" s="592" t="s">
        <v>226</v>
      </c>
      <c r="C31" s="609">
        <f>SUM(D31:AA31)</f>
        <v>0</v>
      </c>
      <c r="D31" s="576"/>
      <c r="E31" s="577"/>
      <c r="F31" s="577"/>
      <c r="G31" s="577"/>
      <c r="H31" s="577"/>
      <c r="I31" s="577"/>
      <c r="J31" s="577"/>
      <c r="K31" s="577"/>
      <c r="L31" s="577"/>
      <c r="M31" s="577"/>
      <c r="N31" s="577"/>
      <c r="O31" s="577"/>
      <c r="P31" s="577"/>
      <c r="Q31" s="577"/>
      <c r="R31" s="577"/>
      <c r="S31" s="577"/>
      <c r="T31" s="577"/>
      <c r="U31" s="577"/>
      <c r="V31" s="577"/>
      <c r="W31" s="577"/>
      <c r="X31" s="577"/>
      <c r="Y31" s="577"/>
      <c r="Z31" s="577"/>
      <c r="AA31" s="577"/>
      <c r="AB31" s="580"/>
      <c r="AC31" s="581"/>
    </row>
    <row r="32" spans="1:29" s="373" customFormat="1" ht="12" customHeight="1" outlineLevel="1" thickBot="1">
      <c r="A32" s="445">
        <v>7700</v>
      </c>
      <c r="B32" s="446" t="s">
        <v>134</v>
      </c>
      <c r="C32" s="609">
        <f>SUM(D32:AA32)</f>
        <v>0</v>
      </c>
      <c r="D32" s="571"/>
      <c r="E32" s="572"/>
      <c r="F32" s="572"/>
      <c r="G32" s="572"/>
      <c r="H32" s="572"/>
      <c r="I32" s="572"/>
      <c r="J32" s="572"/>
      <c r="K32" s="572"/>
      <c r="L32" s="572"/>
      <c r="M32" s="572"/>
      <c r="N32" s="572"/>
      <c r="O32" s="572"/>
      <c r="P32" s="572"/>
      <c r="Q32" s="572"/>
      <c r="R32" s="572"/>
      <c r="S32" s="572"/>
      <c r="T32" s="572"/>
      <c r="U32" s="572"/>
      <c r="V32" s="572"/>
      <c r="W32" s="572"/>
      <c r="X32" s="572"/>
      <c r="Y32" s="572"/>
      <c r="Z32" s="572"/>
      <c r="AA32" s="572"/>
      <c r="AB32" s="573"/>
      <c r="AC32" s="574"/>
    </row>
    <row r="33" spans="1:29" ht="12" customHeight="1" hidden="1" outlineLevel="1" thickBot="1">
      <c r="A33" s="445">
        <v>9200</v>
      </c>
      <c r="B33" s="447" t="s">
        <v>126</v>
      </c>
      <c r="C33" s="593">
        <f>SUM(D33:AA33)</f>
        <v>0</v>
      </c>
      <c r="D33" s="594"/>
      <c r="E33" s="595"/>
      <c r="F33" s="595"/>
      <c r="G33" s="595"/>
      <c r="H33" s="595"/>
      <c r="I33" s="595"/>
      <c r="J33" s="595"/>
      <c r="K33" s="595"/>
      <c r="L33" s="595"/>
      <c r="M33" s="595"/>
      <c r="N33" s="595"/>
      <c r="O33" s="595"/>
      <c r="P33" s="595"/>
      <c r="Q33" s="595"/>
      <c r="R33" s="595"/>
      <c r="S33" s="595"/>
      <c r="T33" s="595"/>
      <c r="U33" s="595"/>
      <c r="V33" s="595"/>
      <c r="W33" s="595"/>
      <c r="X33" s="595"/>
      <c r="Y33" s="595"/>
      <c r="Z33" s="595"/>
      <c r="AA33" s="595"/>
      <c r="AB33" s="644"/>
      <c r="AC33" s="596"/>
    </row>
    <row r="34" spans="1:29" s="373" customFormat="1" ht="15.75" customHeight="1" collapsed="1" thickBot="1">
      <c r="A34" s="381"/>
      <c r="B34" s="416" t="s">
        <v>26</v>
      </c>
      <c r="C34" s="549">
        <f>SUM(C18+C19+C20+C26+C27+C28+C29+C30+C31+C32+C33)</f>
        <v>831953</v>
      </c>
      <c r="D34" s="550">
        <f aca="true" t="shared" si="6" ref="D34:AC34">SUM(D18+D19+D20+D26+D27+D28+D29+D30+D31+D33)</f>
        <v>91066</v>
      </c>
      <c r="E34" s="550">
        <f>SUM(E18+E19+E20+E26+E27+E28+E29+E30+E31+E33)</f>
        <v>197070</v>
      </c>
      <c r="F34" s="550">
        <f t="shared" si="6"/>
        <v>55622</v>
      </c>
      <c r="G34" s="550">
        <f t="shared" si="6"/>
        <v>13041</v>
      </c>
      <c r="H34" s="550">
        <f t="shared" si="6"/>
        <v>11463</v>
      </c>
      <c r="I34" s="550">
        <f t="shared" si="6"/>
        <v>10462</v>
      </c>
      <c r="J34" s="550">
        <f t="shared" si="6"/>
        <v>13738</v>
      </c>
      <c r="K34" s="550">
        <f t="shared" si="6"/>
        <v>8234</v>
      </c>
      <c r="L34" s="550">
        <f t="shared" si="6"/>
        <v>6201</v>
      </c>
      <c r="M34" s="550">
        <f t="shared" si="6"/>
        <v>3049</v>
      </c>
      <c r="N34" s="550">
        <f t="shared" si="6"/>
        <v>172747</v>
      </c>
      <c r="O34" s="550">
        <f t="shared" si="6"/>
        <v>2776</v>
      </c>
      <c r="P34" s="550">
        <f t="shared" si="6"/>
        <v>8070</v>
      </c>
      <c r="Q34" s="550">
        <f t="shared" si="6"/>
        <v>10250</v>
      </c>
      <c r="R34" s="550">
        <f t="shared" si="6"/>
        <v>4281</v>
      </c>
      <c r="S34" s="550">
        <f t="shared" si="6"/>
        <v>800</v>
      </c>
      <c r="T34" s="550">
        <f t="shared" si="6"/>
        <v>2600</v>
      </c>
      <c r="U34" s="550">
        <f t="shared" si="6"/>
        <v>900</v>
      </c>
      <c r="V34" s="550">
        <f t="shared" si="6"/>
        <v>1100</v>
      </c>
      <c r="W34" s="550">
        <f t="shared" si="6"/>
        <v>1000</v>
      </c>
      <c r="X34" s="550">
        <f t="shared" si="6"/>
        <v>800</v>
      </c>
      <c r="Y34" s="550">
        <f t="shared" si="6"/>
        <v>1000</v>
      </c>
      <c r="Z34" s="550">
        <f t="shared" si="6"/>
        <v>40186</v>
      </c>
      <c r="AA34" s="550">
        <f t="shared" si="6"/>
        <v>555</v>
      </c>
      <c r="AB34" s="550">
        <f t="shared" si="6"/>
        <v>124842</v>
      </c>
      <c r="AC34" s="551">
        <f t="shared" si="6"/>
        <v>50100</v>
      </c>
    </row>
    <row r="35" spans="1:29" s="373" customFormat="1" ht="12" customHeight="1" thickBot="1">
      <c r="A35" s="427"/>
      <c r="B35" s="597"/>
      <c r="C35" s="598">
        <f>C15-C34</f>
        <v>0</v>
      </c>
      <c r="D35" s="599">
        <f aca="true" t="shared" si="7" ref="D35:AC35">D15-D34</f>
        <v>0</v>
      </c>
      <c r="E35" s="599">
        <f t="shared" si="7"/>
        <v>0</v>
      </c>
      <c r="F35" s="599">
        <f t="shared" si="7"/>
        <v>0</v>
      </c>
      <c r="G35" s="599">
        <f t="shared" si="7"/>
        <v>0</v>
      </c>
      <c r="H35" s="599">
        <f t="shared" si="7"/>
        <v>0</v>
      </c>
      <c r="I35" s="599">
        <f t="shared" si="7"/>
        <v>0</v>
      </c>
      <c r="J35" s="599">
        <f t="shared" si="7"/>
        <v>0</v>
      </c>
      <c r="K35" s="599">
        <f t="shared" si="7"/>
        <v>0</v>
      </c>
      <c r="L35" s="599">
        <f t="shared" si="7"/>
        <v>0</v>
      </c>
      <c r="M35" s="599">
        <f t="shared" si="7"/>
        <v>0</v>
      </c>
      <c r="N35" s="599">
        <f t="shared" si="7"/>
        <v>0</v>
      </c>
      <c r="O35" s="599">
        <f t="shared" si="7"/>
        <v>0</v>
      </c>
      <c r="P35" s="599">
        <f t="shared" si="7"/>
        <v>0</v>
      </c>
      <c r="Q35" s="599">
        <f t="shared" si="7"/>
        <v>0</v>
      </c>
      <c r="R35" s="599">
        <f t="shared" si="7"/>
        <v>0</v>
      </c>
      <c r="S35" s="599">
        <f t="shared" si="7"/>
        <v>0</v>
      </c>
      <c r="T35" s="599">
        <f t="shared" si="7"/>
        <v>0</v>
      </c>
      <c r="U35" s="599">
        <f t="shared" si="7"/>
        <v>0</v>
      </c>
      <c r="V35" s="599">
        <f t="shared" si="7"/>
        <v>0</v>
      </c>
      <c r="W35" s="599">
        <f t="shared" si="7"/>
        <v>0</v>
      </c>
      <c r="X35" s="599">
        <f t="shared" si="7"/>
        <v>0</v>
      </c>
      <c r="Y35" s="599">
        <f t="shared" si="7"/>
        <v>0</v>
      </c>
      <c r="Z35" s="599">
        <f t="shared" si="7"/>
        <v>0</v>
      </c>
      <c r="AA35" s="599">
        <f t="shared" si="7"/>
        <v>0</v>
      </c>
      <c r="AB35" s="599">
        <f t="shared" si="7"/>
        <v>0</v>
      </c>
      <c r="AC35" s="548">
        <f t="shared" si="7"/>
        <v>0</v>
      </c>
    </row>
    <row r="36" spans="2:29" ht="15">
      <c r="B36" s="421"/>
      <c r="C36" s="601"/>
      <c r="D36" s="602"/>
      <c r="E36" s="602"/>
      <c r="F36" s="602"/>
      <c r="G36" s="602"/>
      <c r="H36" s="602"/>
      <c r="I36" s="602"/>
      <c r="J36" s="603"/>
      <c r="K36" s="603"/>
      <c r="L36" s="603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  <c r="AC36" s="602"/>
    </row>
    <row r="37" spans="2:29" ht="12" customHeight="1">
      <c r="B37" s="890" t="s">
        <v>157</v>
      </c>
      <c r="C37" s="890"/>
      <c r="D37" s="485"/>
      <c r="E37" s="1" t="s">
        <v>43</v>
      </c>
      <c r="F37" s="485"/>
      <c r="G37" s="485"/>
      <c r="H37" s="485"/>
      <c r="I37" s="485"/>
      <c r="J37" s="485"/>
      <c r="K37" s="485"/>
      <c r="L37" s="485"/>
      <c r="M37" s="370"/>
      <c r="N37" s="485"/>
      <c r="O37" s="485"/>
      <c r="P37" s="485"/>
      <c r="Q37" s="485"/>
      <c r="R37" s="485"/>
      <c r="S37" s="485"/>
      <c r="T37" s="485"/>
      <c r="U37" s="485"/>
      <c r="V37" s="485"/>
      <c r="W37" s="485"/>
      <c r="X37" s="485"/>
      <c r="Y37" s="485"/>
      <c r="Z37" s="485"/>
      <c r="AA37" s="485"/>
      <c r="AB37" s="485"/>
      <c r="AC37" s="485"/>
    </row>
    <row r="38" spans="3:29" ht="12" customHeight="1">
      <c r="C38" s="604"/>
      <c r="D38" s="485"/>
      <c r="E38" s="485"/>
      <c r="F38" s="485"/>
      <c r="G38" s="485"/>
      <c r="H38" s="485"/>
      <c r="I38" s="485"/>
      <c r="J38" s="370"/>
      <c r="K38" s="370"/>
      <c r="L38" s="370"/>
      <c r="M38" s="485"/>
      <c r="N38" s="485"/>
      <c r="O38" s="485"/>
      <c r="P38" s="485"/>
      <c r="Q38" s="485"/>
      <c r="R38" s="485"/>
      <c r="S38" s="485"/>
      <c r="T38" s="485"/>
      <c r="U38" s="485"/>
      <c r="V38" s="485"/>
      <c r="W38" s="485"/>
      <c r="X38" s="485"/>
      <c r="Y38" s="485"/>
      <c r="Z38" s="485"/>
      <c r="AA38" s="485"/>
      <c r="AB38" s="485"/>
      <c r="AC38" s="485"/>
    </row>
    <row r="39" spans="1:13" s="485" customFormat="1" ht="12" customHeight="1">
      <c r="A39" s="553"/>
      <c r="C39" s="604"/>
      <c r="I39" s="370"/>
      <c r="M39" s="372"/>
    </row>
    <row r="40" spans="3:29" ht="12" customHeight="1">
      <c r="C40" s="604"/>
      <c r="D40" s="485"/>
      <c r="E40" s="485"/>
      <c r="F40" s="485"/>
      <c r="G40" s="485"/>
      <c r="H40" s="485"/>
      <c r="I40" s="370"/>
      <c r="J40" s="370"/>
      <c r="K40" s="370"/>
      <c r="L40" s="370"/>
      <c r="N40" s="485"/>
      <c r="O40" s="485"/>
      <c r="Q40" s="485"/>
      <c r="R40" s="485"/>
      <c r="S40" s="485"/>
      <c r="T40" s="485"/>
      <c r="U40" s="485"/>
      <c r="V40" s="485"/>
      <c r="W40" s="485"/>
      <c r="X40" s="485"/>
      <c r="Y40" s="485"/>
      <c r="Z40" s="485"/>
      <c r="AA40" s="485"/>
      <c r="AB40" s="485"/>
      <c r="AC40" s="485"/>
    </row>
    <row r="41" spans="1:16" s="368" customFormat="1" ht="12" customHeight="1">
      <c r="A41" s="366"/>
      <c r="B41" s="367"/>
      <c r="C41" s="605"/>
      <c r="G41" s="370"/>
      <c r="H41" s="370"/>
      <c r="I41" s="370"/>
      <c r="J41" s="370"/>
      <c r="K41" s="370"/>
      <c r="L41" s="370"/>
      <c r="M41" s="372"/>
      <c r="N41" s="370"/>
      <c r="P41" s="372"/>
    </row>
    <row r="42" spans="1:13" s="485" customFormat="1" ht="12" customHeight="1">
      <c r="A42" s="553"/>
      <c r="B42" s="606"/>
      <c r="M42" s="372"/>
    </row>
    <row r="43" spans="3:15" ht="12" customHeight="1">
      <c r="C43" s="602"/>
      <c r="O43" s="372"/>
    </row>
    <row r="44" ht="12" customHeight="1">
      <c r="O44" s="372"/>
    </row>
    <row r="45" ht="12" customHeight="1">
      <c r="O45" s="372"/>
    </row>
    <row r="46" ht="12" customHeight="1">
      <c r="O46" s="372"/>
    </row>
    <row r="47" ht="12" customHeight="1">
      <c r="O47" s="372"/>
    </row>
    <row r="48" ht="12" customHeight="1">
      <c r="O48" s="372"/>
    </row>
    <row r="49" ht="12" customHeight="1">
      <c r="O49" s="372"/>
    </row>
  </sheetData>
  <sheetProtection/>
  <mergeCells count="1">
    <mergeCell ref="B37:C37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12" sqref="K12"/>
    </sheetView>
  </sheetViews>
  <sheetFormatPr defaultColWidth="9.140625" defaultRowHeight="12.75"/>
  <cols>
    <col min="1" max="1" width="9.421875" style="1" customWidth="1"/>
    <col min="2" max="2" width="50.57421875" style="8" customWidth="1"/>
    <col min="3" max="3" width="10.00390625" style="1" customWidth="1"/>
    <col min="4" max="4" width="9.7109375" style="1" customWidth="1"/>
    <col min="5" max="5" width="8.57421875" style="1" customWidth="1"/>
    <col min="6" max="6" width="10.57421875" style="1" customWidth="1"/>
    <col min="7" max="7" width="9.28125" style="1" customWidth="1"/>
    <col min="8" max="8" width="9.57421875" style="1" customWidth="1"/>
    <col min="9" max="9" width="10.140625" style="1" customWidth="1"/>
    <col min="10" max="10" width="9.7109375" style="1" customWidth="1"/>
    <col min="11" max="16384" width="9.140625" style="1" customWidth="1"/>
  </cols>
  <sheetData>
    <row r="1" ht="15">
      <c r="B1" s="2" t="s">
        <v>0</v>
      </c>
    </row>
    <row r="3" spans="1:4" ht="15">
      <c r="A3" s="193" t="s">
        <v>55</v>
      </c>
      <c r="B3" s="193"/>
      <c r="C3" s="193"/>
      <c r="D3" s="193"/>
    </row>
    <row r="4" ht="15">
      <c r="B4" s="129" t="s">
        <v>380</v>
      </c>
    </row>
    <row r="5" spans="1:9" ht="15">
      <c r="A5" s="882" t="s">
        <v>56</v>
      </c>
      <c r="B5" s="882"/>
      <c r="C5" s="112" t="s">
        <v>239</v>
      </c>
      <c r="D5" s="128" t="s">
        <v>282</v>
      </c>
      <c r="E5" s="112" t="s">
        <v>46</v>
      </c>
      <c r="F5" s="112" t="s">
        <v>251</v>
      </c>
      <c r="G5" s="112" t="s">
        <v>240</v>
      </c>
      <c r="H5" s="112" t="s">
        <v>241</v>
      </c>
      <c r="I5" s="112" t="s">
        <v>242</v>
      </c>
    </row>
    <row r="6" spans="3:9" s="131" customFormat="1" ht="120.75" thickBot="1">
      <c r="C6" s="130" t="s">
        <v>54</v>
      </c>
      <c r="D6" s="327" t="s">
        <v>283</v>
      </c>
      <c r="E6" s="130" t="s">
        <v>47</v>
      </c>
      <c r="F6" s="287" t="s">
        <v>252</v>
      </c>
      <c r="G6" s="130" t="s">
        <v>213</v>
      </c>
      <c r="H6" s="130" t="s">
        <v>214</v>
      </c>
      <c r="I6" s="130" t="s">
        <v>45</v>
      </c>
    </row>
    <row r="7" spans="1:9" ht="33" customHeight="1" thickBot="1">
      <c r="A7" s="207" t="s">
        <v>7</v>
      </c>
      <c r="B7" s="208" t="s">
        <v>10</v>
      </c>
      <c r="C7" s="67" t="s">
        <v>379</v>
      </c>
      <c r="D7" s="67" t="s">
        <v>379</v>
      </c>
      <c r="E7" s="67" t="s">
        <v>379</v>
      </c>
      <c r="F7" s="67" t="s">
        <v>379</v>
      </c>
      <c r="G7" s="67" t="s">
        <v>379</v>
      </c>
      <c r="H7" s="67" t="s">
        <v>379</v>
      </c>
      <c r="I7" s="67" t="s">
        <v>379</v>
      </c>
    </row>
    <row r="8" spans="1:9" ht="15">
      <c r="A8" s="209">
        <v>1100</v>
      </c>
      <c r="B8" s="187" t="s">
        <v>11</v>
      </c>
      <c r="C8" s="138">
        <f>1589550+9278</f>
        <v>1598828</v>
      </c>
      <c r="D8" s="139">
        <v>2554</v>
      </c>
      <c r="E8" s="139"/>
      <c r="F8" s="140"/>
      <c r="G8" s="139"/>
      <c r="H8" s="140"/>
      <c r="I8" s="140"/>
    </row>
    <row r="9" spans="1:9" ht="30" customHeight="1">
      <c r="A9" s="210">
        <v>1200</v>
      </c>
      <c r="B9" s="74" t="s">
        <v>12</v>
      </c>
      <c r="C9" s="75">
        <f>467401.1156+2235</f>
        <v>469636.1156</v>
      </c>
      <c r="D9" s="144">
        <v>606</v>
      </c>
      <c r="E9" s="151"/>
      <c r="F9" s="117"/>
      <c r="G9" s="151"/>
      <c r="H9" s="117"/>
      <c r="I9" s="117"/>
    </row>
    <row r="10" spans="1:9" ht="15">
      <c r="A10" s="210">
        <v>2000</v>
      </c>
      <c r="B10" s="74" t="s">
        <v>13</v>
      </c>
      <c r="C10" s="75">
        <f aca="true" t="shared" si="0" ref="C10:I10">SUM(C11:C15)</f>
        <v>688854</v>
      </c>
      <c r="D10" s="75">
        <f t="shared" si="0"/>
        <v>0</v>
      </c>
      <c r="E10" s="144">
        <f t="shared" si="0"/>
        <v>106356</v>
      </c>
      <c r="F10" s="75"/>
      <c r="G10" s="144">
        <f t="shared" si="0"/>
        <v>0</v>
      </c>
      <c r="H10" s="75">
        <f t="shared" si="0"/>
        <v>0</v>
      </c>
      <c r="I10" s="75">
        <f t="shared" si="0"/>
        <v>128902</v>
      </c>
    </row>
    <row r="11" spans="1:9" ht="15">
      <c r="A11" s="210">
        <v>2100</v>
      </c>
      <c r="B11" s="74" t="s">
        <v>14</v>
      </c>
      <c r="C11" s="307">
        <f>10560-2265</f>
        <v>8295</v>
      </c>
      <c r="D11" s="324"/>
      <c r="E11" s="151"/>
      <c r="F11" s="117"/>
      <c r="G11" s="151"/>
      <c r="H11" s="117"/>
      <c r="I11" s="117"/>
    </row>
    <row r="12" spans="1:9" ht="15">
      <c r="A12" s="210">
        <v>2200</v>
      </c>
      <c r="B12" s="74" t="s">
        <v>15</v>
      </c>
      <c r="C12" s="83">
        <v>591226</v>
      </c>
      <c r="D12" s="211"/>
      <c r="E12" s="211">
        <v>106356</v>
      </c>
      <c r="F12" s="117"/>
      <c r="G12" s="146"/>
      <c r="H12" s="147"/>
      <c r="I12" s="145">
        <f>650000-15000-20000-486098</f>
        <v>128902</v>
      </c>
    </row>
    <row r="13" spans="1:9" ht="30">
      <c r="A13" s="210">
        <v>2300</v>
      </c>
      <c r="B13" s="74" t="s">
        <v>16</v>
      </c>
      <c r="C13" s="75">
        <v>88493</v>
      </c>
      <c r="D13" s="144"/>
      <c r="E13" s="151"/>
      <c r="F13" s="117"/>
      <c r="G13" s="146"/>
      <c r="H13" s="147"/>
      <c r="I13" s="117"/>
    </row>
    <row r="14" spans="1:9" ht="15">
      <c r="A14" s="210">
        <v>2400</v>
      </c>
      <c r="B14" s="143" t="s">
        <v>63</v>
      </c>
      <c r="C14" s="221"/>
      <c r="D14" s="325"/>
      <c r="E14" s="151"/>
      <c r="F14" s="117"/>
      <c r="G14" s="151"/>
      <c r="H14" s="117"/>
      <c r="I14" s="117"/>
    </row>
    <row r="15" spans="1:9" ht="15">
      <c r="A15" s="210">
        <v>2500</v>
      </c>
      <c r="B15" s="74" t="s">
        <v>17</v>
      </c>
      <c r="C15" s="117">
        <v>840</v>
      </c>
      <c r="D15" s="151"/>
      <c r="E15" s="151"/>
      <c r="F15" s="117"/>
      <c r="G15" s="151"/>
      <c r="H15" s="117"/>
      <c r="I15" s="117"/>
    </row>
    <row r="16" spans="1:9" s="3" customFormat="1" ht="15">
      <c r="A16" s="210">
        <v>4200</v>
      </c>
      <c r="B16" s="80" t="s">
        <v>19</v>
      </c>
      <c r="C16" s="117"/>
      <c r="D16" s="151"/>
      <c r="E16" s="151"/>
      <c r="F16" s="117"/>
      <c r="G16" s="151"/>
      <c r="H16" s="117"/>
      <c r="I16" s="117"/>
    </row>
    <row r="17" spans="1:9" ht="15">
      <c r="A17" s="210">
        <v>4300</v>
      </c>
      <c r="B17" s="74" t="s">
        <v>20</v>
      </c>
      <c r="C17" s="117"/>
      <c r="D17" s="151"/>
      <c r="E17" s="151">
        <v>38431</v>
      </c>
      <c r="F17" s="117"/>
      <c r="G17" s="151"/>
      <c r="H17" s="117"/>
      <c r="I17" s="117"/>
    </row>
    <row r="18" spans="1:9" ht="15">
      <c r="A18" s="210">
        <v>5100</v>
      </c>
      <c r="B18" s="74" t="s">
        <v>22</v>
      </c>
      <c r="C18" s="307">
        <v>32173</v>
      </c>
      <c r="D18" s="324"/>
      <c r="E18" s="151"/>
      <c r="F18" s="117"/>
      <c r="G18" s="151"/>
      <c r="H18" s="117"/>
      <c r="I18" s="117"/>
    </row>
    <row r="19" spans="1:9" ht="15">
      <c r="A19" s="210">
        <v>5200</v>
      </c>
      <c r="B19" s="74" t="s">
        <v>23</v>
      </c>
      <c r="C19" s="20">
        <v>39551</v>
      </c>
      <c r="D19" s="326"/>
      <c r="E19" s="211"/>
      <c r="F19" s="83"/>
      <c r="G19" s="211"/>
      <c r="H19" s="83"/>
      <c r="I19" s="83"/>
    </row>
    <row r="20" spans="1:9" ht="15">
      <c r="A20" s="212">
        <v>6200</v>
      </c>
      <c r="B20" s="80" t="s">
        <v>24</v>
      </c>
      <c r="C20" s="20">
        <v>29768</v>
      </c>
      <c r="D20" s="326"/>
      <c r="E20" s="211"/>
      <c r="F20" s="83"/>
      <c r="G20" s="211"/>
      <c r="H20" s="83"/>
      <c r="I20" s="83"/>
    </row>
    <row r="21" spans="1:9" ht="30">
      <c r="A21" s="213">
        <v>6500</v>
      </c>
      <c r="B21" s="9" t="s">
        <v>156</v>
      </c>
      <c r="C21" s="20">
        <v>1425</v>
      </c>
      <c r="D21" s="326"/>
      <c r="E21" s="211"/>
      <c r="F21" s="83"/>
      <c r="G21" s="211"/>
      <c r="H21" s="83"/>
      <c r="I21" s="83"/>
    </row>
    <row r="22" spans="1:13" s="3" customFormat="1" ht="15">
      <c r="A22" s="214">
        <v>7200</v>
      </c>
      <c r="B22" s="143" t="s">
        <v>25</v>
      </c>
      <c r="C22" s="117"/>
      <c r="D22" s="151"/>
      <c r="E22" s="151"/>
      <c r="F22" s="117">
        <f>5000+86657</f>
        <v>91657</v>
      </c>
      <c r="G22" s="152">
        <f>600000+444</f>
        <v>600444</v>
      </c>
      <c r="H22" s="117">
        <v>145506</v>
      </c>
      <c r="I22" s="117"/>
      <c r="M22" s="3" t="s">
        <v>320</v>
      </c>
    </row>
    <row r="23" spans="1:9" s="3" customFormat="1" ht="15">
      <c r="A23" s="288">
        <v>8100</v>
      </c>
      <c r="B23" s="236" t="s">
        <v>255</v>
      </c>
      <c r="C23" s="117"/>
      <c r="D23" s="151"/>
      <c r="E23" s="151"/>
      <c r="F23" s="117"/>
      <c r="G23" s="152"/>
      <c r="H23" s="117"/>
      <c r="I23" s="117"/>
    </row>
    <row r="24" spans="1:9" ht="19.5" customHeight="1" thickBot="1">
      <c r="A24" s="215">
        <v>9200</v>
      </c>
      <c r="B24" s="216" t="s">
        <v>135</v>
      </c>
      <c r="C24" s="217"/>
      <c r="D24" s="218"/>
      <c r="E24" s="218"/>
      <c r="F24" s="220">
        <v>9800</v>
      </c>
      <c r="G24" s="219"/>
      <c r="H24" s="220"/>
      <c r="I24" s="221"/>
    </row>
    <row r="25" spans="1:9" ht="15.75" thickBot="1">
      <c r="A25" s="222"/>
      <c r="B25" s="192" t="s">
        <v>26</v>
      </c>
      <c r="C25" s="105">
        <f>SUM(C8+C9+C10+C16+C17+C18+C19+C20+C21+C22+C23)</f>
        <v>2860235.1156</v>
      </c>
      <c r="D25" s="105">
        <f>SUM(D8+D9+D10+D16+D17+D18+D19+D20+D21+D22+D23)</f>
        <v>3160</v>
      </c>
      <c r="E25" s="223">
        <f>SUM(E8+E9+E10+E16+E17+E18+E19+E22)</f>
        <v>144787</v>
      </c>
      <c r="F25" s="223">
        <f>SUM(F8+F9+F10+F16+F17+F18+F19+F22+F23+F24)</f>
        <v>101457</v>
      </c>
      <c r="G25" s="286">
        <f>SUM(G8+G9+G10+G16+G17+G18+G19+G22+G24)</f>
        <v>600444</v>
      </c>
      <c r="H25" s="105">
        <f>SUM(H8+H9+H10+H16+H17+H18+H19+H22)</f>
        <v>145506</v>
      </c>
      <c r="I25" s="223">
        <f>SUM(I8+I9+I10+I16+I17+I18+I19+I22)</f>
        <v>128902</v>
      </c>
    </row>
    <row r="26" spans="1:4" ht="15">
      <c r="A26" s="4"/>
      <c r="B26" s="59"/>
      <c r="C26" s="4"/>
      <c r="D26" s="4"/>
    </row>
    <row r="27" spans="2:5" ht="15">
      <c r="B27" s="8" t="s">
        <v>157</v>
      </c>
      <c r="C27" s="224"/>
      <c r="D27" s="224"/>
      <c r="E27" s="1" t="s">
        <v>43</v>
      </c>
    </row>
    <row r="28" spans="3:4" ht="15">
      <c r="C28" s="8"/>
      <c r="D28" s="8"/>
    </row>
    <row r="29" spans="3:9" ht="15">
      <c r="C29" s="643"/>
      <c r="D29" s="643"/>
      <c r="E29" s="639"/>
      <c r="F29" s="639"/>
      <c r="G29" s="639"/>
      <c r="H29" s="639"/>
      <c r="I29" s="639"/>
    </row>
    <row r="30" spans="2:11" ht="15">
      <c r="B30" s="883"/>
      <c r="C30" s="883"/>
      <c r="D30" s="883"/>
      <c r="E30" s="883"/>
      <c r="F30" s="883"/>
      <c r="G30" s="883"/>
      <c r="H30" s="883"/>
      <c r="I30" s="883"/>
      <c r="J30" s="883"/>
      <c r="K30" s="225"/>
    </row>
    <row r="32" spans="5:7" ht="15">
      <c r="E32" s="124"/>
      <c r="F32" s="124"/>
      <c r="G32" s="124"/>
    </row>
    <row r="33" spans="2:7" ht="15">
      <c r="B33" s="9"/>
      <c r="C33" s="4"/>
      <c r="D33" s="4"/>
      <c r="E33" s="124"/>
      <c r="F33" s="124"/>
      <c r="G33" s="124"/>
    </row>
    <row r="34" spans="5:7" ht="15">
      <c r="E34" s="5"/>
      <c r="F34" s="5"/>
      <c r="G34" s="5"/>
    </row>
    <row r="35" spans="3:4" ht="15">
      <c r="C35" s="5"/>
      <c r="D35" s="5"/>
    </row>
    <row r="39" spans="2:8" ht="15">
      <c r="B39" s="226"/>
      <c r="C39" s="6"/>
      <c r="D39" s="6"/>
      <c r="H39" s="126"/>
    </row>
    <row r="40" spans="2:13" ht="15">
      <c r="B40" s="224"/>
      <c r="C40" s="227"/>
      <c r="D40" s="227"/>
      <c r="L40" s="61"/>
      <c r="M40" s="228"/>
    </row>
    <row r="41" spans="2:13" ht="15">
      <c r="B41" s="1"/>
      <c r="C41" s="229"/>
      <c r="D41" s="229"/>
      <c r="E41" s="5"/>
      <c r="F41" s="5"/>
      <c r="G41" s="5"/>
      <c r="H41" s="229"/>
      <c r="M41" s="229"/>
    </row>
    <row r="42" spans="3:13" ht="15">
      <c r="C42" s="229"/>
      <c r="D42" s="229"/>
      <c r="M42" s="229"/>
    </row>
    <row r="43" spans="3:13" ht="15">
      <c r="C43" s="229"/>
      <c r="D43" s="229"/>
      <c r="M43" s="229"/>
    </row>
    <row r="44" spans="3:13" ht="15">
      <c r="C44" s="229"/>
      <c r="D44" s="229"/>
      <c r="M44" s="229"/>
    </row>
    <row r="45" spans="3:13" ht="15">
      <c r="C45" s="229"/>
      <c r="D45" s="229"/>
      <c r="H45" s="3"/>
      <c r="M45" s="230"/>
    </row>
    <row r="46" spans="3:13" ht="15">
      <c r="C46" s="229"/>
      <c r="D46" s="229"/>
      <c r="H46" s="3"/>
      <c r="M46" s="230"/>
    </row>
    <row r="47" spans="2:13" ht="15">
      <c r="B47" s="1"/>
      <c r="H47" s="3"/>
      <c r="M47" s="230"/>
    </row>
    <row r="48" spans="3:13" ht="15">
      <c r="C48" s="229"/>
      <c r="D48" s="229"/>
      <c r="H48" s="3"/>
      <c r="L48" s="3"/>
      <c r="M48" s="228"/>
    </row>
    <row r="49" spans="2:13" ht="15">
      <c r="B49" s="129"/>
      <c r="C49" s="231"/>
      <c r="D49" s="231"/>
      <c r="H49" s="3"/>
      <c r="L49" s="3"/>
      <c r="M49" s="228"/>
    </row>
    <row r="50" spans="3:13" ht="15">
      <c r="C50" s="229"/>
      <c r="D50" s="229"/>
      <c r="H50" s="3"/>
      <c r="I50" s="3"/>
      <c r="J50" s="3"/>
      <c r="K50" s="3"/>
      <c r="M50" s="228"/>
    </row>
    <row r="51" spans="2:11" ht="15">
      <c r="B51" s="129"/>
      <c r="C51" s="231"/>
      <c r="D51" s="231"/>
      <c r="H51" s="126"/>
      <c r="I51" s="61"/>
      <c r="J51" s="61"/>
      <c r="K51" s="61"/>
    </row>
    <row r="52" spans="2:13" ht="15">
      <c r="B52" s="129"/>
      <c r="C52" s="229"/>
      <c r="D52" s="229"/>
      <c r="I52" s="5"/>
      <c r="J52" s="5"/>
      <c r="K52" s="5"/>
      <c r="L52" s="5"/>
      <c r="M52" s="229"/>
    </row>
    <row r="53" spans="3:13" ht="15">
      <c r="C53" s="229"/>
      <c r="D53" s="229"/>
      <c r="H53" s="891"/>
      <c r="I53" s="891"/>
      <c r="J53" s="891"/>
      <c r="M53" s="229"/>
    </row>
    <row r="54" spans="3:13" ht="15">
      <c r="C54" s="229"/>
      <c r="D54" s="229"/>
      <c r="M54" s="229"/>
    </row>
    <row r="55" spans="3:13" ht="15">
      <c r="C55" s="229"/>
      <c r="D55" s="229"/>
      <c r="H55" s="3"/>
      <c r="M55" s="230"/>
    </row>
    <row r="56" spans="3:13" ht="15">
      <c r="C56" s="229"/>
      <c r="D56" s="229"/>
      <c r="M56" s="230"/>
    </row>
    <row r="57" spans="3:13" ht="15">
      <c r="C57" s="229"/>
      <c r="D57" s="229"/>
      <c r="M57" s="228"/>
    </row>
    <row r="58" spans="3:13" ht="15">
      <c r="C58" s="231"/>
      <c r="D58" s="231"/>
      <c r="H58" s="3"/>
      <c r="M58" s="230"/>
    </row>
    <row r="59" spans="8:13" ht="15">
      <c r="H59" s="3"/>
      <c r="M59" s="230"/>
    </row>
    <row r="61" spans="5:11" ht="15">
      <c r="E61" s="5"/>
      <c r="F61" s="5"/>
      <c r="G61" s="5"/>
      <c r="H61" s="5"/>
      <c r="I61" s="5"/>
      <c r="J61" s="5"/>
      <c r="K61" s="5"/>
    </row>
  </sheetData>
  <sheetProtection/>
  <mergeCells count="3">
    <mergeCell ref="A5:B5"/>
    <mergeCell ref="B30:J30"/>
    <mergeCell ref="H53:J53"/>
  </mergeCells>
  <printOptions/>
  <pageMargins left="0.15748031496062992" right="0.15748031496062992" top="0.1968503937007874" bottom="0.5905511811023623" header="0.11811023622047245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G25" sqref="G25"/>
    </sheetView>
  </sheetViews>
  <sheetFormatPr defaultColWidth="8.8515625" defaultRowHeight="12.75"/>
  <cols>
    <col min="1" max="1" width="11.57421875" style="27" customWidth="1"/>
    <col min="2" max="2" width="48.7109375" style="27" customWidth="1"/>
    <col min="3" max="3" width="11.00390625" style="27" customWidth="1"/>
    <col min="4" max="16384" width="8.8515625" style="27" customWidth="1"/>
  </cols>
  <sheetData>
    <row r="1" ht="15">
      <c r="B1" s="2" t="s">
        <v>0</v>
      </c>
    </row>
    <row r="3" spans="1:3" ht="14.25">
      <c r="A3" s="193" t="s">
        <v>55</v>
      </c>
      <c r="B3" s="193"/>
      <c r="C3" s="193"/>
    </row>
    <row r="4" spans="1:3" ht="14.25" customHeight="1">
      <c r="A4" s="193" t="s">
        <v>380</v>
      </c>
      <c r="B4" s="193"/>
      <c r="C4" s="193"/>
    </row>
    <row r="5" spans="1:3" ht="15">
      <c r="A5" s="1"/>
      <c r="B5" s="193"/>
      <c r="C5" s="128" t="s">
        <v>243</v>
      </c>
    </row>
    <row r="6" spans="1:3" ht="15.75" thickBot="1">
      <c r="A6" s="131"/>
      <c r="B6" s="131"/>
      <c r="C6" s="130" t="s">
        <v>66</v>
      </c>
    </row>
    <row r="7" spans="1:3" ht="33" customHeight="1" thickBot="1">
      <c r="A7" s="232" t="s">
        <v>7</v>
      </c>
      <c r="B7" s="208" t="s">
        <v>10</v>
      </c>
      <c r="C7" s="66" t="s">
        <v>379</v>
      </c>
    </row>
    <row r="8" spans="1:3" ht="15">
      <c r="A8" s="175">
        <v>1100</v>
      </c>
      <c r="B8" s="187" t="s">
        <v>11</v>
      </c>
      <c r="C8" s="140">
        <v>188931</v>
      </c>
    </row>
    <row r="9" spans="1:3" ht="30">
      <c r="A9" s="73">
        <v>1200</v>
      </c>
      <c r="B9" s="74" t="s">
        <v>12</v>
      </c>
      <c r="C9" s="75">
        <v>61637.3157</v>
      </c>
    </row>
    <row r="10" spans="1:3" ht="15">
      <c r="A10" s="73">
        <v>2000</v>
      </c>
      <c r="B10" s="74" t="s">
        <v>13</v>
      </c>
      <c r="C10" s="75">
        <f>SUM(C11:C15)</f>
        <v>46469</v>
      </c>
    </row>
    <row r="11" spans="1:3" ht="15">
      <c r="A11" s="73">
        <v>2100</v>
      </c>
      <c r="B11" s="74" t="s">
        <v>14</v>
      </c>
      <c r="C11" s="117">
        <v>100</v>
      </c>
    </row>
    <row r="12" spans="1:3" ht="15">
      <c r="A12" s="73">
        <v>2200</v>
      </c>
      <c r="B12" s="74" t="s">
        <v>15</v>
      </c>
      <c r="C12" s="75">
        <f>38704-2105</f>
        <v>36599</v>
      </c>
    </row>
    <row r="13" spans="1:3" ht="29.25" customHeight="1">
      <c r="A13" s="73">
        <v>2300</v>
      </c>
      <c r="B13" s="74" t="s">
        <v>16</v>
      </c>
      <c r="C13" s="75">
        <v>9770</v>
      </c>
    </row>
    <row r="14" spans="1:3" ht="15">
      <c r="A14" s="73">
        <v>2400</v>
      </c>
      <c r="B14" s="143" t="s">
        <v>63</v>
      </c>
      <c r="C14" s="117"/>
    </row>
    <row r="15" spans="1:3" ht="15">
      <c r="A15" s="73">
        <v>2500</v>
      </c>
      <c r="B15" s="74" t="s">
        <v>17</v>
      </c>
      <c r="C15" s="117"/>
    </row>
    <row r="16" spans="1:3" ht="15">
      <c r="A16" s="73">
        <v>4200</v>
      </c>
      <c r="B16" s="80" t="s">
        <v>19</v>
      </c>
      <c r="C16" s="117"/>
    </row>
    <row r="17" spans="1:3" ht="15">
      <c r="A17" s="73">
        <v>4300</v>
      </c>
      <c r="B17" s="74" t="s">
        <v>20</v>
      </c>
      <c r="C17" s="117"/>
    </row>
    <row r="18" spans="1:3" ht="15">
      <c r="A18" s="73">
        <v>5100</v>
      </c>
      <c r="B18" s="74" t="s">
        <v>22</v>
      </c>
      <c r="C18" s="117"/>
    </row>
    <row r="19" spans="1:3" ht="15">
      <c r="A19" s="73">
        <v>5200</v>
      </c>
      <c r="B19" s="74" t="s">
        <v>23</v>
      </c>
      <c r="C19" s="117">
        <f>6600+2105</f>
        <v>8705</v>
      </c>
    </row>
    <row r="20" spans="1:3" ht="15">
      <c r="A20" s="73">
        <v>6200</v>
      </c>
      <c r="B20" s="74" t="s">
        <v>60</v>
      </c>
      <c r="C20" s="117"/>
    </row>
    <row r="21" spans="1:3" ht="30">
      <c r="A21" s="235">
        <v>6500</v>
      </c>
      <c r="B21" s="9" t="s">
        <v>156</v>
      </c>
      <c r="C21" s="117"/>
    </row>
    <row r="22" spans="1:3" ht="15.75" customHeight="1" thickBot="1">
      <c r="A22" s="142">
        <v>7200</v>
      </c>
      <c r="B22" s="143" t="s">
        <v>25</v>
      </c>
      <c r="C22" s="117"/>
    </row>
    <row r="23" spans="1:3" ht="18" customHeight="1" thickBot="1">
      <c r="A23" s="64"/>
      <c r="B23" s="192" t="s">
        <v>26</v>
      </c>
      <c r="C23" s="105">
        <f>SUM(C8+C9+C10+C16+C17+C18+C19+C20+C21+C22)</f>
        <v>305742.31570000004</v>
      </c>
    </row>
    <row r="24" spans="1:2" ht="15">
      <c r="A24" s="4"/>
      <c r="B24" s="59"/>
    </row>
    <row r="25" spans="1:3" ht="15">
      <c r="A25" s="1"/>
      <c r="B25" s="8" t="s">
        <v>157</v>
      </c>
      <c r="C25" s="1" t="s">
        <v>43</v>
      </c>
    </row>
    <row r="27" spans="2:3" ht="15.75">
      <c r="B27" s="233"/>
      <c r="C27" s="234"/>
    </row>
    <row r="31" ht="12.75">
      <c r="C31" s="109"/>
    </row>
    <row r="38" spans="2:3" s="109" customFormat="1" ht="15.75">
      <c r="B38" s="233"/>
      <c r="C38" s="234"/>
    </row>
  </sheetData>
  <sheetProtection/>
  <printOptions/>
  <pageMargins left="1.82" right="0.7480314960629921" top="0.5905511811023623" bottom="0.5905511811023623" header="0.5118110236220472" footer="0.5118110236220472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H69" sqref="H69"/>
    </sheetView>
  </sheetViews>
  <sheetFormatPr defaultColWidth="9.140625" defaultRowHeight="12.75"/>
  <cols>
    <col min="1" max="1" width="50.421875" style="1" customWidth="1"/>
    <col min="2" max="2" width="9.140625" style="1" customWidth="1"/>
    <col min="3" max="3" width="12.57421875" style="1" customWidth="1"/>
    <col min="4" max="246" width="9.140625" style="1" customWidth="1"/>
    <col min="247" max="247" width="50.421875" style="1" customWidth="1"/>
    <col min="248" max="248" width="9.140625" style="1" customWidth="1"/>
    <col min="249" max="249" width="12.57421875" style="1" customWidth="1"/>
    <col min="250" max="16384" width="9.140625" style="1" customWidth="1"/>
  </cols>
  <sheetData>
    <row r="1" spans="1:2" ht="39.75" customHeight="1">
      <c r="A1" s="892" t="s">
        <v>199</v>
      </c>
      <c r="B1" s="892"/>
    </row>
    <row r="2" spans="1:3" ht="30">
      <c r="A2" s="771" t="s">
        <v>48</v>
      </c>
      <c r="B2" s="771" t="s">
        <v>7</v>
      </c>
      <c r="C2" s="772" t="s">
        <v>383</v>
      </c>
    </row>
    <row r="3" spans="1:3" ht="30">
      <c r="A3" s="773" t="s">
        <v>460</v>
      </c>
      <c r="B3" s="731">
        <v>2200</v>
      </c>
      <c r="C3" s="774">
        <v>5000</v>
      </c>
    </row>
    <row r="4" spans="1:3" ht="15">
      <c r="A4" s="775" t="s">
        <v>200</v>
      </c>
      <c r="B4" s="236">
        <v>3200</v>
      </c>
      <c r="C4" s="776">
        <f>10000-645</f>
        <v>9355</v>
      </c>
    </row>
    <row r="5" spans="1:3" ht="15">
      <c r="A5" s="729" t="s">
        <v>30</v>
      </c>
      <c r="B5" s="729"/>
      <c r="C5" s="777">
        <f>SUM(C3:C4)</f>
        <v>14355</v>
      </c>
    </row>
    <row r="6" spans="1:2" ht="41.25" customHeight="1">
      <c r="A6" s="892" t="s">
        <v>478</v>
      </c>
      <c r="B6" s="892"/>
    </row>
    <row r="7" spans="1:3" ht="30">
      <c r="A7" s="771" t="s">
        <v>48</v>
      </c>
      <c r="B7" s="771" t="s">
        <v>7</v>
      </c>
      <c r="C7" s="772" t="s">
        <v>383</v>
      </c>
    </row>
    <row r="8" spans="1:3" ht="15">
      <c r="A8" s="778" t="s">
        <v>461</v>
      </c>
      <c r="B8" s="19">
        <v>5200</v>
      </c>
      <c r="C8" s="779">
        <f>211000</f>
        <v>211000</v>
      </c>
    </row>
    <row r="9" spans="1:3" ht="15">
      <c r="A9" s="778" t="s">
        <v>462</v>
      </c>
      <c r="B9" s="19">
        <v>2200</v>
      </c>
      <c r="C9" s="780">
        <f>301000+139000-18000</f>
        <v>422000</v>
      </c>
    </row>
    <row r="10" spans="1:3" ht="30">
      <c r="A10" s="778" t="s">
        <v>480</v>
      </c>
      <c r="B10" s="19">
        <v>5200</v>
      </c>
      <c r="C10" s="781">
        <v>43000</v>
      </c>
    </row>
    <row r="11" spans="1:3" ht="30">
      <c r="A11" s="730" t="s">
        <v>496</v>
      </c>
      <c r="B11" s="236">
        <v>2200</v>
      </c>
      <c r="C11" s="782">
        <v>609387</v>
      </c>
    </row>
    <row r="12" spans="1:3" ht="30">
      <c r="A12" s="328" t="s">
        <v>463</v>
      </c>
      <c r="B12" s="19">
        <v>2200</v>
      </c>
      <c r="C12" s="782">
        <v>49268</v>
      </c>
    </row>
    <row r="13" spans="1:3" ht="15">
      <c r="A13" s="783" t="s">
        <v>284</v>
      </c>
      <c r="B13" s="19">
        <v>2200</v>
      </c>
      <c r="C13" s="782">
        <v>4000</v>
      </c>
    </row>
    <row r="14" spans="1:3" ht="30">
      <c r="A14" s="778" t="s">
        <v>464</v>
      </c>
      <c r="B14" s="19">
        <v>2200</v>
      </c>
      <c r="C14" s="782">
        <v>11264</v>
      </c>
    </row>
    <row r="15" spans="1:3" ht="30">
      <c r="A15" s="784" t="s">
        <v>465</v>
      </c>
      <c r="B15" s="734">
        <v>2200</v>
      </c>
      <c r="C15" s="785">
        <f>23240-19088</f>
        <v>4152</v>
      </c>
    </row>
    <row r="16" spans="1:3" ht="30">
      <c r="A16" s="730" t="s">
        <v>466</v>
      </c>
      <c r="B16" s="734">
        <v>2200</v>
      </c>
      <c r="C16" s="786">
        <v>5000</v>
      </c>
    </row>
    <row r="17" spans="1:3" ht="30">
      <c r="A17" s="778" t="s">
        <v>481</v>
      </c>
      <c r="B17" s="19">
        <v>5200</v>
      </c>
      <c r="C17" s="329">
        <f>23869+2541</f>
        <v>26410</v>
      </c>
    </row>
    <row r="18" spans="1:3" ht="30">
      <c r="A18" s="787" t="s">
        <v>467</v>
      </c>
      <c r="B18" s="19">
        <v>2200</v>
      </c>
      <c r="C18" s="788">
        <v>5948</v>
      </c>
    </row>
    <row r="19" spans="1:3" ht="60">
      <c r="A19" s="789" t="s">
        <v>468</v>
      </c>
      <c r="B19" s="271">
        <v>2200</v>
      </c>
      <c r="C19" s="790">
        <f>49050+1635</f>
        <v>50685</v>
      </c>
    </row>
    <row r="20" spans="1:3" ht="15">
      <c r="A20" s="791" t="s">
        <v>469</v>
      </c>
      <c r="B20" s="271">
        <v>5200</v>
      </c>
      <c r="C20" s="792">
        <f>23360+509</f>
        <v>23869</v>
      </c>
    </row>
    <row r="21" spans="1:3" ht="45">
      <c r="A21" s="793" t="s">
        <v>470</v>
      </c>
      <c r="B21" s="271">
        <v>5200</v>
      </c>
      <c r="C21" s="794">
        <v>111000</v>
      </c>
    </row>
    <row r="22" spans="1:3" ht="45">
      <c r="A22" s="795" t="s">
        <v>471</v>
      </c>
      <c r="B22" s="271">
        <v>5200</v>
      </c>
      <c r="C22" s="796">
        <v>500</v>
      </c>
    </row>
    <row r="23" spans="1:3" ht="30">
      <c r="A23" s="797" t="s">
        <v>472</v>
      </c>
      <c r="B23" s="271">
        <v>5200</v>
      </c>
      <c r="C23" s="794">
        <f>14400+4400</f>
        <v>18800</v>
      </c>
    </row>
    <row r="24" spans="1:3" ht="30">
      <c r="A24" s="798" t="s">
        <v>473</v>
      </c>
      <c r="B24" s="271">
        <v>3200</v>
      </c>
      <c r="C24" s="790">
        <v>3000</v>
      </c>
    </row>
    <row r="25" spans="1:3" ht="30">
      <c r="A25" s="843" t="s">
        <v>576</v>
      </c>
      <c r="B25" s="271">
        <v>2200</v>
      </c>
      <c r="C25" s="790">
        <v>5070</v>
      </c>
    </row>
    <row r="26" spans="1:3" ht="15">
      <c r="A26" s="95" t="s">
        <v>30</v>
      </c>
      <c r="B26" s="95"/>
      <c r="C26" s="799">
        <f>SUM(C8:C25)</f>
        <v>1604353</v>
      </c>
    </row>
    <row r="27" spans="1:3" ht="15">
      <c r="A27" s="7"/>
      <c r="B27" s="7"/>
      <c r="C27" s="13"/>
    </row>
    <row r="28" spans="1:3" ht="38.25" customHeight="1">
      <c r="A28" s="892" t="s">
        <v>479</v>
      </c>
      <c r="B28" s="892"/>
      <c r="C28" s="892"/>
    </row>
    <row r="29" spans="1:3" ht="30">
      <c r="A29" s="771" t="s">
        <v>48</v>
      </c>
      <c r="B29" s="771" t="s">
        <v>7</v>
      </c>
      <c r="C29" s="772" t="s">
        <v>383</v>
      </c>
    </row>
    <row r="30" spans="1:3" ht="15">
      <c r="A30" s="775" t="s">
        <v>482</v>
      </c>
      <c r="B30" s="236">
        <v>2300</v>
      </c>
      <c r="C30" s="776">
        <v>500</v>
      </c>
    </row>
    <row r="31" spans="1:3" ht="16.5" customHeight="1">
      <c r="A31" s="328" t="s">
        <v>483</v>
      </c>
      <c r="B31" s="236">
        <v>2200</v>
      </c>
      <c r="C31" s="776">
        <v>7513</v>
      </c>
    </row>
    <row r="32" spans="1:3" ht="16.5" customHeight="1">
      <c r="A32" s="95" t="s">
        <v>30</v>
      </c>
      <c r="B32" s="236"/>
      <c r="C32" s="800">
        <f>SUM(C30:C31)</f>
        <v>8013</v>
      </c>
    </row>
    <row r="33" spans="1:2" ht="15">
      <c r="A33" s="8"/>
      <c r="B33" s="8"/>
    </row>
    <row r="34" spans="1:3" ht="36.75" customHeight="1">
      <c r="A34" s="892" t="s">
        <v>474</v>
      </c>
      <c r="B34" s="892"/>
      <c r="C34" s="892"/>
    </row>
    <row r="35" spans="1:3" ht="30">
      <c r="A35" s="771" t="s">
        <v>48</v>
      </c>
      <c r="B35" s="771" t="s">
        <v>7</v>
      </c>
      <c r="C35" s="772" t="s">
        <v>383</v>
      </c>
    </row>
    <row r="36" spans="1:3" ht="15">
      <c r="A36" s="801" t="s">
        <v>484</v>
      </c>
      <c r="B36" s="236">
        <v>2200</v>
      </c>
      <c r="C36" s="776">
        <v>712</v>
      </c>
    </row>
    <row r="37" spans="1:3" ht="30">
      <c r="A37" s="802" t="s">
        <v>485</v>
      </c>
      <c r="B37" s="236">
        <v>2200</v>
      </c>
      <c r="C37" s="776">
        <v>24200</v>
      </c>
    </row>
    <row r="38" spans="1:3" ht="15">
      <c r="A38" s="802" t="s">
        <v>384</v>
      </c>
      <c r="B38" s="236">
        <v>5200</v>
      </c>
      <c r="C38" s="776">
        <v>24200</v>
      </c>
    </row>
    <row r="39" spans="1:3" ht="30">
      <c r="A39" s="801" t="s">
        <v>486</v>
      </c>
      <c r="B39" s="236">
        <v>2200</v>
      </c>
      <c r="C39" s="776">
        <v>404</v>
      </c>
    </row>
    <row r="40" spans="1:3" ht="30">
      <c r="A40" s="732" t="s">
        <v>487</v>
      </c>
      <c r="B40" s="236">
        <v>5200</v>
      </c>
      <c r="C40" s="776">
        <v>12100</v>
      </c>
    </row>
    <row r="41" spans="1:3" ht="30">
      <c r="A41" s="328" t="s">
        <v>385</v>
      </c>
      <c r="B41" s="236">
        <v>2200</v>
      </c>
      <c r="C41" s="776">
        <v>10000</v>
      </c>
    </row>
    <row r="42" spans="1:3" ht="15">
      <c r="A42" s="95" t="s">
        <v>30</v>
      </c>
      <c r="B42" s="236"/>
      <c r="C42" s="800">
        <f>SUM(C36:C41)</f>
        <v>71616</v>
      </c>
    </row>
    <row r="44" spans="1:3" ht="36.75" customHeight="1">
      <c r="A44" s="892" t="s">
        <v>475</v>
      </c>
      <c r="B44" s="892"/>
      <c r="C44" s="892"/>
    </row>
    <row r="45" spans="1:3" ht="30">
      <c r="A45" s="771" t="s">
        <v>48</v>
      </c>
      <c r="B45" s="771" t="s">
        <v>7</v>
      </c>
      <c r="C45" s="772" t="s">
        <v>383</v>
      </c>
    </row>
    <row r="46" spans="1:3" ht="15">
      <c r="A46" s="803" t="s">
        <v>488</v>
      </c>
      <c r="B46" s="236">
        <v>2200</v>
      </c>
      <c r="C46" s="776">
        <v>4827</v>
      </c>
    </row>
    <row r="47" spans="1:3" ht="30">
      <c r="A47" s="733" t="s">
        <v>489</v>
      </c>
      <c r="B47" s="236">
        <v>5200</v>
      </c>
      <c r="C47" s="776">
        <f>405+436</f>
        <v>841</v>
      </c>
    </row>
    <row r="48" spans="1:3" ht="15">
      <c r="A48" s="804" t="s">
        <v>490</v>
      </c>
      <c r="B48" s="236">
        <v>2200</v>
      </c>
      <c r="C48" s="776">
        <f>7998-2402</f>
        <v>5596</v>
      </c>
    </row>
    <row r="49" spans="1:3" ht="30">
      <c r="A49" s="805" t="s">
        <v>491</v>
      </c>
      <c r="B49" s="236">
        <v>1100</v>
      </c>
      <c r="C49" s="776">
        <v>683</v>
      </c>
    </row>
    <row r="50" spans="1:3" ht="30">
      <c r="A50" s="805" t="s">
        <v>491</v>
      </c>
      <c r="B50" s="236">
        <v>1200</v>
      </c>
      <c r="C50" s="776">
        <v>164</v>
      </c>
    </row>
    <row r="51" spans="1:3" ht="16.5" customHeight="1">
      <c r="A51" s="733" t="s">
        <v>492</v>
      </c>
      <c r="B51" s="236">
        <v>2200</v>
      </c>
      <c r="C51" s="776">
        <v>2904</v>
      </c>
    </row>
    <row r="52" spans="1:3" ht="14.25" customHeight="1">
      <c r="A52" s="733" t="s">
        <v>493</v>
      </c>
      <c r="B52" s="236">
        <v>2200</v>
      </c>
      <c r="C52" s="776">
        <v>5000</v>
      </c>
    </row>
    <row r="53" spans="1:3" ht="15">
      <c r="A53" s="733" t="s">
        <v>494</v>
      </c>
      <c r="B53" s="236">
        <v>2200</v>
      </c>
      <c r="C53" s="776">
        <v>6000</v>
      </c>
    </row>
    <row r="54" spans="1:3" ht="45">
      <c r="A54" s="806" t="s">
        <v>495</v>
      </c>
      <c r="B54" s="236">
        <v>2200</v>
      </c>
      <c r="C54" s="776">
        <v>267</v>
      </c>
    </row>
    <row r="55" spans="1:3" ht="15">
      <c r="A55" s="806" t="s">
        <v>476</v>
      </c>
      <c r="B55" s="244">
        <v>2200</v>
      </c>
      <c r="C55" s="807">
        <f>993+3648+2402</f>
        <v>7043</v>
      </c>
    </row>
    <row r="56" spans="1:3" ht="15">
      <c r="A56" s="804" t="s">
        <v>477</v>
      </c>
      <c r="B56" s="244">
        <v>3200</v>
      </c>
      <c r="C56" s="808">
        <v>2000</v>
      </c>
    </row>
    <row r="57" spans="1:3" ht="15">
      <c r="A57" s="95" t="s">
        <v>30</v>
      </c>
      <c r="B57" s="236"/>
      <c r="C57" s="800">
        <f>SUM(C46:C56)</f>
        <v>35325</v>
      </c>
    </row>
    <row r="59" spans="1:3" ht="15">
      <c r="A59" s="8" t="s">
        <v>163</v>
      </c>
      <c r="B59" s="8"/>
      <c r="C59" s="1" t="s">
        <v>43</v>
      </c>
    </row>
  </sheetData>
  <sheetProtection/>
  <mergeCells count="5">
    <mergeCell ref="A44:C44"/>
    <mergeCell ref="A1:B1"/>
    <mergeCell ref="A6:B6"/>
    <mergeCell ref="A28:C28"/>
    <mergeCell ref="A34:C3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8515625" style="254" customWidth="1"/>
    <col min="2" max="2" width="54.140625" style="266" customWidth="1"/>
    <col min="3" max="3" width="13.7109375" style="253" customWidth="1"/>
    <col min="4" max="4" width="10.00390625" style="254" customWidth="1"/>
    <col min="5" max="5" width="10.28125" style="254" customWidth="1"/>
    <col min="6" max="9" width="9.140625" style="254" customWidth="1"/>
    <col min="10" max="16384" width="9.140625" style="254" customWidth="1"/>
  </cols>
  <sheetData>
    <row r="1" spans="1:3" s="248" customFormat="1" ht="19.5" thickBot="1">
      <c r="A1" s="827" t="s">
        <v>550</v>
      </c>
      <c r="B1" s="827"/>
      <c r="C1" s="827"/>
    </row>
    <row r="2" spans="1:7" s="249" customFormat="1" ht="52.5" customHeight="1" thickBot="1">
      <c r="A2" s="308" t="s">
        <v>168</v>
      </c>
      <c r="B2" s="309" t="s">
        <v>169</v>
      </c>
      <c r="C2" s="310" t="s">
        <v>452</v>
      </c>
      <c r="D2" s="828"/>
      <c r="E2" s="331"/>
      <c r="F2" s="332"/>
      <c r="G2" s="333"/>
    </row>
    <row r="3" spans="1:7" s="251" customFormat="1" ht="16.5" thickTop="1">
      <c r="A3" s="250">
        <v>1</v>
      </c>
      <c r="B3" s="311" t="s">
        <v>175</v>
      </c>
      <c r="C3" s="24">
        <v>62335</v>
      </c>
      <c r="D3" s="289"/>
      <c r="E3" s="334"/>
      <c r="F3" s="332"/>
      <c r="G3" s="332"/>
    </row>
    <row r="4" spans="1:7" s="251" customFormat="1" ht="15.75">
      <c r="A4" s="250">
        <v>2</v>
      </c>
      <c r="B4" s="311" t="s">
        <v>176</v>
      </c>
      <c r="C4" s="24">
        <f>57087+300</f>
        <v>57387</v>
      </c>
      <c r="D4" s="290"/>
      <c r="E4" s="334"/>
      <c r="F4" s="332"/>
      <c r="G4" s="332"/>
    </row>
    <row r="5" spans="1:7" s="251" customFormat="1" ht="15.75">
      <c r="A5" s="250">
        <v>3</v>
      </c>
      <c r="B5" s="311" t="s">
        <v>177</v>
      </c>
      <c r="C5" s="24">
        <v>18134</v>
      </c>
      <c r="D5" s="290"/>
      <c r="E5" s="334"/>
      <c r="F5" s="332"/>
      <c r="G5" s="332"/>
    </row>
    <row r="6" spans="1:7" s="251" customFormat="1" ht="15.75">
      <c r="A6" s="250">
        <v>4</v>
      </c>
      <c r="B6" s="311" t="s">
        <v>178</v>
      </c>
      <c r="C6" s="24">
        <f>28994-300</f>
        <v>28694</v>
      </c>
      <c r="D6" s="290"/>
      <c r="E6" s="334"/>
      <c r="F6" s="332"/>
      <c r="G6" s="332"/>
    </row>
    <row r="7" spans="1:7" s="251" customFormat="1" ht="15.75">
      <c r="A7" s="250">
        <v>5</v>
      </c>
      <c r="B7" s="314" t="s">
        <v>179</v>
      </c>
      <c r="C7" s="312">
        <v>60181</v>
      </c>
      <c r="D7" s="290"/>
      <c r="E7" s="334"/>
      <c r="F7" s="332"/>
      <c r="G7" s="332"/>
    </row>
    <row r="8" spans="1:7" s="251" customFormat="1" ht="15.75">
      <c r="A8" s="250">
        <v>6</v>
      </c>
      <c r="B8" s="311" t="s">
        <v>49</v>
      </c>
      <c r="C8" s="24">
        <v>17000</v>
      </c>
      <c r="D8" s="290"/>
      <c r="E8" s="334"/>
      <c r="F8" s="332"/>
      <c r="G8" s="332"/>
    </row>
    <row r="9" spans="1:7" s="251" customFormat="1" ht="15.75">
      <c r="A9" s="250">
        <v>7</v>
      </c>
      <c r="B9" s="311" t="s">
        <v>113</v>
      </c>
      <c r="C9" s="24">
        <v>39141</v>
      </c>
      <c r="D9" s="290"/>
      <c r="E9" s="334"/>
      <c r="F9" s="332"/>
      <c r="G9" s="332"/>
    </row>
    <row r="10" spans="1:7" s="251" customFormat="1" ht="15.75">
      <c r="A10" s="250">
        <v>8</v>
      </c>
      <c r="B10" s="311" t="s">
        <v>180</v>
      </c>
      <c r="C10" s="24">
        <v>25467</v>
      </c>
      <c r="D10" s="290"/>
      <c r="E10" s="334"/>
      <c r="F10" s="332"/>
      <c r="G10" s="332"/>
    </row>
    <row r="11" spans="1:7" s="251" customFormat="1" ht="31.5">
      <c r="A11" s="250">
        <v>9</v>
      </c>
      <c r="B11" s="311" t="s">
        <v>181</v>
      </c>
      <c r="C11" s="24">
        <v>35120</v>
      </c>
      <c r="D11" s="290"/>
      <c r="E11" s="334"/>
      <c r="F11" s="332"/>
      <c r="G11" s="332"/>
    </row>
    <row r="12" spans="1:7" s="251" customFormat="1" ht="15.75">
      <c r="A12" s="250">
        <v>10</v>
      </c>
      <c r="B12" s="314" t="s">
        <v>44</v>
      </c>
      <c r="C12" s="24">
        <v>43557</v>
      </c>
      <c r="D12" s="290"/>
      <c r="E12" s="334"/>
      <c r="F12" s="332"/>
      <c r="G12" s="332"/>
    </row>
    <row r="13" spans="1:7" s="251" customFormat="1" ht="15.75">
      <c r="A13" s="250">
        <v>11</v>
      </c>
      <c r="B13" s="311" t="s">
        <v>183</v>
      </c>
      <c r="C13" s="24">
        <v>14471</v>
      </c>
      <c r="D13" s="290"/>
      <c r="E13" s="334"/>
      <c r="F13" s="332"/>
      <c r="G13" s="332"/>
    </row>
    <row r="14" spans="1:7" s="251" customFormat="1" ht="15.75">
      <c r="A14" s="250">
        <v>12</v>
      </c>
      <c r="B14" s="313" t="s">
        <v>186</v>
      </c>
      <c r="C14" s="315">
        <v>59899</v>
      </c>
      <c r="D14" s="290"/>
      <c r="E14" s="334"/>
      <c r="F14" s="332"/>
      <c r="G14" s="332"/>
    </row>
    <row r="15" spans="1:7" s="251" customFormat="1" ht="15.75">
      <c r="A15" s="250">
        <v>13</v>
      </c>
      <c r="B15" s="316" t="s">
        <v>187</v>
      </c>
      <c r="C15" s="315">
        <f>91323+2000</f>
        <v>93323</v>
      </c>
      <c r="D15" s="290"/>
      <c r="E15" s="334"/>
      <c r="F15" s="332"/>
      <c r="G15" s="332"/>
    </row>
    <row r="16" spans="1:7" s="251" customFormat="1" ht="15.75">
      <c r="A16" s="250">
        <v>16</v>
      </c>
      <c r="B16" s="829" t="s">
        <v>458</v>
      </c>
      <c r="C16" s="315">
        <v>20000</v>
      </c>
      <c r="D16" s="290"/>
      <c r="E16" s="334"/>
      <c r="F16" s="332"/>
      <c r="G16" s="332"/>
    </row>
    <row r="17" spans="1:7" s="251" customFormat="1" ht="15.75">
      <c r="A17" s="830">
        <v>17</v>
      </c>
      <c r="B17" s="831" t="s">
        <v>551</v>
      </c>
      <c r="C17" s="832">
        <v>25255</v>
      </c>
      <c r="D17" s="290"/>
      <c r="E17" s="334"/>
      <c r="F17" s="332"/>
      <c r="G17" s="332"/>
    </row>
    <row r="18" spans="1:7" s="251" customFormat="1" ht="32.25" thickBot="1">
      <c r="A18" s="833">
        <v>18</v>
      </c>
      <c r="B18" s="831" t="s">
        <v>552</v>
      </c>
      <c r="C18" s="353">
        <v>21642</v>
      </c>
      <c r="D18" s="290"/>
      <c r="E18" s="334"/>
      <c r="F18" s="332"/>
      <c r="G18" s="332"/>
    </row>
    <row r="19" spans="1:7" s="251" customFormat="1" ht="16.5" thickBot="1">
      <c r="A19" s="350"/>
      <c r="B19" s="351" t="s">
        <v>216</v>
      </c>
      <c r="C19" s="352">
        <f>SUM(C3:C18)</f>
        <v>621606</v>
      </c>
      <c r="D19" s="834"/>
      <c r="E19" s="336"/>
      <c r="F19" s="332"/>
      <c r="G19" s="332"/>
    </row>
    <row r="20" spans="1:11" s="251" customFormat="1" ht="15.75">
      <c r="A20" s="252"/>
      <c r="B20" s="337"/>
      <c r="C20" s="338"/>
      <c r="D20" s="253"/>
      <c r="E20" s="339"/>
      <c r="F20" s="339"/>
      <c r="G20" s="339"/>
      <c r="K20" s="340"/>
    </row>
    <row r="21" spans="1:7" s="251" customFormat="1" ht="15.75">
      <c r="A21" s="252"/>
      <c r="B21" s="255"/>
      <c r="C21" s="256"/>
      <c r="D21" s="290"/>
      <c r="E21" s="317"/>
      <c r="F21" s="332"/>
      <c r="G21" s="332"/>
    </row>
    <row r="22" spans="1:5" s="251" customFormat="1" ht="16.5" thickBot="1">
      <c r="A22" s="835" t="s">
        <v>285</v>
      </c>
      <c r="B22" s="836"/>
      <c r="C22" s="257"/>
      <c r="D22" s="285"/>
      <c r="E22" s="285"/>
    </row>
    <row r="23" spans="1:7" s="251" customFormat="1" ht="38.25" thickBot="1">
      <c r="A23" s="308" t="s">
        <v>168</v>
      </c>
      <c r="B23" s="309" t="s">
        <v>169</v>
      </c>
      <c r="C23" s="318" t="s">
        <v>452</v>
      </c>
      <c r="D23" s="26"/>
      <c r="E23" s="331"/>
      <c r="F23" s="332"/>
      <c r="G23" s="333"/>
    </row>
    <row r="24" spans="1:6" s="251" customFormat="1" ht="16.5" thickTop="1">
      <c r="A24" s="56">
        <v>1</v>
      </c>
      <c r="B24" s="313" t="s">
        <v>188</v>
      </c>
      <c r="C24" s="315">
        <v>78800</v>
      </c>
      <c r="D24" s="837"/>
      <c r="E24" s="341"/>
      <c r="F24" s="332"/>
    </row>
    <row r="25" spans="1:6" s="251" customFormat="1" ht="15.75">
      <c r="A25" s="56">
        <v>2</v>
      </c>
      <c r="B25" s="313" t="s">
        <v>189</v>
      </c>
      <c r="C25" s="315">
        <f>27500-1950</f>
        <v>25550</v>
      </c>
      <c r="D25" s="837"/>
      <c r="E25" s="341"/>
      <c r="F25" s="332"/>
    </row>
    <row r="26" spans="1:6" ht="31.5">
      <c r="A26" s="56">
        <v>3</v>
      </c>
      <c r="B26" s="313" t="s">
        <v>459</v>
      </c>
      <c r="C26" s="315">
        <v>36200</v>
      </c>
      <c r="D26" s="837"/>
      <c r="E26" s="332"/>
      <c r="F26" s="342"/>
    </row>
    <row r="27" spans="1:6" ht="15.75">
      <c r="A27" s="56">
        <v>4</v>
      </c>
      <c r="B27" s="313" t="s">
        <v>553</v>
      </c>
      <c r="C27" s="315"/>
      <c r="D27" s="837"/>
      <c r="E27" s="332"/>
      <c r="F27" s="342"/>
    </row>
    <row r="28" spans="1:6" s="259" customFormat="1" ht="15.75">
      <c r="A28" s="56">
        <v>5</v>
      </c>
      <c r="B28" s="313" t="s">
        <v>190</v>
      </c>
      <c r="C28" s="315">
        <v>32992</v>
      </c>
      <c r="D28" s="837"/>
      <c r="E28" s="332"/>
      <c r="F28" s="343"/>
    </row>
    <row r="29" spans="1:6" ht="19.5" customHeight="1">
      <c r="A29" s="838">
        <v>6</v>
      </c>
      <c r="B29" s="313" t="s">
        <v>191</v>
      </c>
      <c r="C29" s="839">
        <f>113857-25815</f>
        <v>88042</v>
      </c>
      <c r="D29" s="840"/>
      <c r="E29" s="332"/>
      <c r="F29" s="342"/>
    </row>
    <row r="30" spans="1:6" ht="19.5" customHeight="1">
      <c r="A30" s="838">
        <v>7</v>
      </c>
      <c r="B30" s="313" t="s">
        <v>286</v>
      </c>
      <c r="C30" s="344">
        <v>847</v>
      </c>
      <c r="D30" s="840"/>
      <c r="E30" s="342"/>
      <c r="F30" s="342"/>
    </row>
    <row r="31" spans="1:10" ht="16.5" thickBot="1">
      <c r="A31" s="726"/>
      <c r="B31" s="727" t="s">
        <v>217</v>
      </c>
      <c r="C31" s="728">
        <f>SUM(C24:C30)</f>
        <v>262431</v>
      </c>
      <c r="D31" s="841"/>
      <c r="E31" s="331"/>
      <c r="F31" s="339"/>
      <c r="G31" s="321"/>
      <c r="J31" s="259"/>
    </row>
    <row r="32" spans="1:4" ht="15.75">
      <c r="A32" s="262"/>
      <c r="B32" s="263"/>
      <c r="C32" s="264"/>
      <c r="D32" s="253"/>
    </row>
    <row r="33" spans="1:7" ht="15.75">
      <c r="A33" s="262"/>
      <c r="B33" s="337"/>
      <c r="C33" s="345"/>
      <c r="D33" s="253"/>
      <c r="G33" s="322"/>
    </row>
    <row r="34" spans="1:4" ht="15.75">
      <c r="A34" s="252"/>
      <c r="B34" s="255"/>
      <c r="C34" s="265"/>
      <c r="D34" s="253"/>
    </row>
    <row r="35" spans="1:4" ht="15.75">
      <c r="A35" s="252"/>
      <c r="B35" s="242" t="s">
        <v>163</v>
      </c>
      <c r="C35" s="16" t="s">
        <v>43</v>
      </c>
      <c r="D35" s="253"/>
    </row>
    <row r="36" spans="1:4" s="261" customFormat="1" ht="11.25">
      <c r="A36" s="254"/>
      <c r="B36" s="266"/>
      <c r="C36" s="253"/>
      <c r="D36" s="260"/>
    </row>
    <row r="37" spans="1:4" s="259" customFormat="1" ht="11.25">
      <c r="A37" s="254"/>
      <c r="B37" s="266"/>
      <c r="C37" s="253"/>
      <c r="D37" s="258"/>
    </row>
    <row r="38" spans="1:4" s="259" customFormat="1" ht="12.75" customHeight="1" hidden="1">
      <c r="A38" s="254"/>
      <c r="B38" s="266"/>
      <c r="C38" s="253"/>
      <c r="D38" s="258"/>
    </row>
    <row r="39" spans="1:4" s="259" customFormat="1" ht="12.75" customHeight="1">
      <c r="A39" s="254"/>
      <c r="B39" s="266"/>
      <c r="C39" s="253"/>
      <c r="D39" s="258"/>
    </row>
    <row r="40" ht="11.25">
      <c r="D40" s="253"/>
    </row>
    <row r="41" ht="11.25">
      <c r="D41" s="253"/>
    </row>
  </sheetData>
  <sheetProtection/>
  <printOptions/>
  <pageMargins left="0.5511811023622047" right="0.5511811023622047" top="0.3937007874015748" bottom="0.5905511811023623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5.8515625" style="254" customWidth="1"/>
    <col min="2" max="2" width="54.140625" style="266" customWidth="1"/>
    <col min="3" max="3" width="13.7109375" style="253" customWidth="1"/>
    <col min="4" max="4" width="10.00390625" style="253" customWidth="1"/>
    <col min="5" max="5" width="11.421875" style="254" customWidth="1"/>
    <col min="6" max="16384" width="9.140625" style="254" customWidth="1"/>
  </cols>
  <sheetData>
    <row r="1" spans="1:4" s="248" customFormat="1" ht="43.5" customHeight="1" thickBot="1">
      <c r="A1" s="893" t="s">
        <v>577</v>
      </c>
      <c r="B1" s="893"/>
      <c r="C1" s="893"/>
      <c r="D1" s="346"/>
    </row>
    <row r="2" spans="1:8" s="249" customFormat="1" ht="32.25" thickBot="1">
      <c r="A2" s="347" t="s">
        <v>168</v>
      </c>
      <c r="B2" s="348" t="s">
        <v>169</v>
      </c>
      <c r="C2" s="844" t="s">
        <v>452</v>
      </c>
      <c r="D2" s="845"/>
      <c r="E2" s="26"/>
      <c r="F2" s="335"/>
      <c r="G2" s="332"/>
      <c r="H2" s="333"/>
    </row>
    <row r="3" spans="1:8" s="251" customFormat="1" ht="16.5" thickTop="1">
      <c r="A3" s="718">
        <v>1</v>
      </c>
      <c r="B3" s="243" t="s">
        <v>170</v>
      </c>
      <c r="C3" s="719">
        <f>945552+17008</f>
        <v>962560</v>
      </c>
      <c r="D3" s="846"/>
      <c r="E3" s="332"/>
      <c r="F3" s="848"/>
      <c r="G3" s="349"/>
      <c r="H3" s="332"/>
    </row>
    <row r="4" spans="1:8" s="251" customFormat="1" ht="15.75">
      <c r="A4" s="718">
        <v>2</v>
      </c>
      <c r="B4" s="243" t="s">
        <v>171</v>
      </c>
      <c r="C4" s="720">
        <f>9904+2425</f>
        <v>12329</v>
      </c>
      <c r="D4" s="846"/>
      <c r="E4" s="332"/>
      <c r="F4" s="284"/>
      <c r="G4" s="349"/>
      <c r="H4" s="332"/>
    </row>
    <row r="5" spans="1:12" s="251" customFormat="1" ht="15.75">
      <c r="A5" s="718">
        <v>3</v>
      </c>
      <c r="B5" s="243" t="s">
        <v>172</v>
      </c>
      <c r="C5" s="720">
        <f>7591-1681</f>
        <v>5910</v>
      </c>
      <c r="D5" s="846"/>
      <c r="E5" s="332"/>
      <c r="F5" s="284"/>
      <c r="G5" s="349"/>
      <c r="H5" s="332"/>
      <c r="K5" s="334"/>
      <c r="L5" s="334"/>
    </row>
    <row r="6" spans="1:8" s="251" customFormat="1" ht="15.75">
      <c r="A6" s="718">
        <v>4</v>
      </c>
      <c r="B6" s="243" t="s">
        <v>173</v>
      </c>
      <c r="C6" s="720">
        <v>23414.61</v>
      </c>
      <c r="D6" s="846"/>
      <c r="E6" s="332"/>
      <c r="F6" s="284"/>
      <c r="G6" s="349"/>
      <c r="H6" s="332"/>
    </row>
    <row r="7" spans="1:8" s="251" customFormat="1" ht="31.5">
      <c r="A7" s="718">
        <v>5</v>
      </c>
      <c r="B7" s="243" t="s">
        <v>174</v>
      </c>
      <c r="C7" s="720">
        <v>9646.68</v>
      </c>
      <c r="D7" s="846"/>
      <c r="E7" s="332"/>
      <c r="F7" s="284"/>
      <c r="G7" s="349"/>
      <c r="H7" s="332"/>
    </row>
    <row r="8" spans="1:8" s="251" customFormat="1" ht="19.5" customHeight="1">
      <c r="A8" s="718">
        <v>6</v>
      </c>
      <c r="B8" s="243" t="s">
        <v>453</v>
      </c>
      <c r="C8" s="721">
        <v>55588.18</v>
      </c>
      <c r="D8" s="846"/>
      <c r="E8" s="332"/>
      <c r="F8" s="284"/>
      <c r="G8" s="349"/>
      <c r="H8" s="332"/>
    </row>
    <row r="9" spans="1:8" s="251" customFormat="1" ht="15.75">
      <c r="A9" s="718">
        <v>7</v>
      </c>
      <c r="B9" s="243" t="s">
        <v>128</v>
      </c>
      <c r="C9" s="720">
        <f>16520+1000</f>
        <v>17520</v>
      </c>
      <c r="D9" s="846"/>
      <c r="E9" s="332"/>
      <c r="F9" s="284"/>
      <c r="G9" s="349"/>
      <c r="H9" s="332"/>
    </row>
    <row r="10" spans="1:8" s="251" customFormat="1" ht="15.75">
      <c r="A10" s="718">
        <v>8</v>
      </c>
      <c r="B10" s="243" t="s">
        <v>182</v>
      </c>
      <c r="C10" s="720">
        <v>800</v>
      </c>
      <c r="D10" s="846"/>
      <c r="E10" s="332"/>
      <c r="F10" s="284"/>
      <c r="G10" s="349"/>
      <c r="H10" s="332"/>
    </row>
    <row r="11" spans="1:8" s="251" customFormat="1" ht="31.5">
      <c r="A11" s="718">
        <v>9</v>
      </c>
      <c r="B11" s="243" t="s">
        <v>454</v>
      </c>
      <c r="C11" s="720">
        <f>144833.43115+21448</f>
        <v>166281.43115</v>
      </c>
      <c r="D11" s="846"/>
      <c r="E11" s="332"/>
      <c r="F11" s="284"/>
      <c r="G11" s="349"/>
      <c r="H11" s="332"/>
    </row>
    <row r="12" spans="1:8" s="251" customFormat="1" ht="31.5">
      <c r="A12" s="718">
        <v>10</v>
      </c>
      <c r="B12" s="243" t="s">
        <v>185</v>
      </c>
      <c r="C12" s="720">
        <v>41361.72</v>
      </c>
      <c r="D12" s="846"/>
      <c r="E12" s="332"/>
      <c r="F12" s="284"/>
      <c r="G12" s="349"/>
      <c r="H12" s="332"/>
    </row>
    <row r="13" spans="1:8" s="251" customFormat="1" ht="15.75">
      <c r="A13" s="718">
        <v>11</v>
      </c>
      <c r="B13" s="674" t="s">
        <v>455</v>
      </c>
      <c r="C13" s="720">
        <v>3837</v>
      </c>
      <c r="D13" s="846"/>
      <c r="E13" s="332"/>
      <c r="F13" s="284"/>
      <c r="G13" s="349"/>
      <c r="H13" s="332"/>
    </row>
    <row r="14" spans="1:8" s="251" customFormat="1" ht="31.5">
      <c r="A14" s="718">
        <v>12</v>
      </c>
      <c r="B14" s="243" t="s">
        <v>578</v>
      </c>
      <c r="C14" s="721">
        <v>0</v>
      </c>
      <c r="D14" s="846"/>
      <c r="E14" s="332"/>
      <c r="F14" s="284"/>
      <c r="G14" s="349"/>
      <c r="H14" s="332"/>
    </row>
    <row r="15" spans="1:8" s="251" customFormat="1" ht="15.75">
      <c r="A15" s="718">
        <v>13</v>
      </c>
      <c r="B15" s="722" t="s">
        <v>184</v>
      </c>
      <c r="C15" s="720">
        <f>27000+4300</f>
        <v>31300</v>
      </c>
      <c r="D15" s="846"/>
      <c r="E15" s="332"/>
      <c r="F15" s="284"/>
      <c r="G15" s="349"/>
      <c r="H15" s="332"/>
    </row>
    <row r="16" spans="1:8" s="251" customFormat="1" ht="19.5" customHeight="1">
      <c r="A16" s="718">
        <v>14</v>
      </c>
      <c r="B16" s="722" t="s">
        <v>215</v>
      </c>
      <c r="C16" s="720">
        <f>5300-4450</f>
        <v>850</v>
      </c>
      <c r="D16" s="846"/>
      <c r="E16" s="332"/>
      <c r="F16" s="284"/>
      <c r="G16" s="349"/>
      <c r="H16" s="332"/>
    </row>
    <row r="17" spans="1:8" s="251" customFormat="1" ht="15.75">
      <c r="A17" s="718">
        <v>15</v>
      </c>
      <c r="B17" s="17" t="s">
        <v>579</v>
      </c>
      <c r="C17" s="721">
        <v>0</v>
      </c>
      <c r="D17" s="846"/>
      <c r="E17" s="332"/>
      <c r="F17" s="289"/>
      <c r="G17" s="349"/>
      <c r="H17" s="332"/>
    </row>
    <row r="18" spans="1:8" s="251" customFormat="1" ht="15" customHeight="1">
      <c r="A18" s="718">
        <v>16</v>
      </c>
      <c r="B18" s="243" t="s">
        <v>456</v>
      </c>
      <c r="C18" s="720">
        <v>6050</v>
      </c>
      <c r="D18" s="846"/>
      <c r="E18" s="332"/>
      <c r="F18" s="284"/>
      <c r="G18" s="349"/>
      <c r="H18" s="332"/>
    </row>
    <row r="19" spans="1:8" s="251" customFormat="1" ht="15.75">
      <c r="A19" s="718">
        <v>17</v>
      </c>
      <c r="B19" s="723" t="s">
        <v>457</v>
      </c>
      <c r="C19" s="724">
        <f>5100-2425</f>
        <v>2675</v>
      </c>
      <c r="D19" s="846"/>
      <c r="E19" s="289"/>
      <c r="F19" s="284"/>
      <c r="G19" s="349"/>
      <c r="H19" s="332"/>
    </row>
    <row r="20" spans="1:8" s="251" customFormat="1" ht="16.5" thickBot="1">
      <c r="A20" s="718"/>
      <c r="B20" s="723"/>
      <c r="C20" s="725"/>
      <c r="D20" s="713"/>
      <c r="E20" s="332"/>
      <c r="F20" s="284"/>
      <c r="G20" s="349"/>
      <c r="H20" s="332"/>
    </row>
    <row r="21" spans="1:8" s="251" customFormat="1" ht="16.5" thickBot="1">
      <c r="A21" s="350"/>
      <c r="B21" s="351" t="s">
        <v>216</v>
      </c>
      <c r="C21" s="352">
        <f>SUM(C3:C20)</f>
        <v>1340123.62115</v>
      </c>
      <c r="D21" s="847"/>
      <c r="E21" s="335"/>
      <c r="F21" s="847"/>
      <c r="G21" s="349"/>
      <c r="H21" s="332"/>
    </row>
    <row r="22" spans="1:8" s="251" customFormat="1" ht="15.75">
      <c r="A22" s="252"/>
      <c r="B22" s="337"/>
      <c r="C22" s="338"/>
      <c r="D22" s="345"/>
      <c r="E22" s="339"/>
      <c r="F22" s="339"/>
      <c r="G22" s="339"/>
      <c r="H22" s="339"/>
    </row>
    <row r="23" spans="1:8" s="251" customFormat="1" ht="15.75">
      <c r="A23" s="252"/>
      <c r="B23" s="255"/>
      <c r="C23" s="256"/>
      <c r="D23" s="256"/>
      <c r="E23" s="290"/>
      <c r="F23" s="317"/>
      <c r="G23" s="332"/>
      <c r="H23" s="332"/>
    </row>
    <row r="24" spans="1:5" ht="15.75">
      <c r="A24" s="252"/>
      <c r="B24" s="255"/>
      <c r="C24" s="265"/>
      <c r="D24" s="265"/>
      <c r="E24" s="253"/>
    </row>
    <row r="25" spans="1:5" ht="15.75">
      <c r="A25" s="252"/>
      <c r="B25" s="242" t="s">
        <v>163</v>
      </c>
      <c r="C25" s="16" t="s">
        <v>43</v>
      </c>
      <c r="D25" s="16"/>
      <c r="E25" s="253"/>
    </row>
    <row r="26" spans="1:5" s="261" customFormat="1" ht="11.25" customHeight="1" hidden="1">
      <c r="A26" s="254"/>
      <c r="B26" s="266"/>
      <c r="C26" s="253"/>
      <c r="D26" s="253"/>
      <c r="E26" s="260"/>
    </row>
    <row r="27" spans="1:5" s="259" customFormat="1" ht="11.25">
      <c r="A27" s="254"/>
      <c r="B27" s="266"/>
      <c r="C27" s="253"/>
      <c r="D27" s="253"/>
      <c r="E27" s="258"/>
    </row>
    <row r="28" spans="1:5" s="259" customFormat="1" ht="11.25" hidden="1">
      <c r="A28" s="254"/>
      <c r="B28" s="266"/>
      <c r="C28" s="253"/>
      <c r="D28" s="253"/>
      <c r="E28" s="258"/>
    </row>
    <row r="29" spans="1:5" s="259" customFormat="1" ht="11.25">
      <c r="A29" s="254"/>
      <c r="B29" s="266"/>
      <c r="C29" s="253"/>
      <c r="D29" s="253"/>
      <c r="E29" s="258"/>
    </row>
    <row r="30" ht="11.25">
      <c r="E30" s="253"/>
    </row>
    <row r="31" ht="11.25">
      <c r="E31" s="25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F51" sqref="F51"/>
    </sheetView>
  </sheetViews>
  <sheetFormatPr defaultColWidth="9.140625" defaultRowHeight="12.75"/>
  <cols>
    <col min="1" max="1" width="62.57421875" style="30" customWidth="1"/>
    <col min="2" max="2" width="9.7109375" style="27" customWidth="1"/>
    <col min="3" max="3" width="13.57421875" style="40" customWidth="1"/>
    <col min="4" max="248" width="9.140625" style="27" customWidth="1"/>
    <col min="249" max="249" width="62.57421875" style="27" customWidth="1"/>
    <col min="250" max="250" width="9.7109375" style="27" customWidth="1"/>
    <col min="251" max="252" width="13.57421875" style="27" customWidth="1"/>
    <col min="253" max="253" width="9.57421875" style="27" bestFit="1" customWidth="1"/>
    <col min="254" max="254" width="10.28125" style="27" customWidth="1"/>
    <col min="255" max="255" width="9.140625" style="27" customWidth="1"/>
    <col min="256" max="16384" width="9.28125" style="27" customWidth="1"/>
  </cols>
  <sheetData>
    <row r="1" spans="1:3" ht="19.5" thickBot="1">
      <c r="A1" s="895" t="s">
        <v>441</v>
      </c>
      <c r="B1" s="895"/>
      <c r="C1" s="895"/>
    </row>
    <row r="2" spans="1:3" ht="38.25" thickBot="1">
      <c r="A2" s="28" t="s">
        <v>29</v>
      </c>
      <c r="B2" s="29" t="s">
        <v>7</v>
      </c>
      <c r="C2" s="708" t="s">
        <v>130</v>
      </c>
    </row>
    <row r="3" spans="1:3" s="32" customFormat="1" ht="30">
      <c r="A3" s="809" t="s">
        <v>445</v>
      </c>
      <c r="B3" s="34">
        <v>2200</v>
      </c>
      <c r="C3" s="709">
        <v>35000</v>
      </c>
    </row>
    <row r="4" spans="1:3" s="32" customFormat="1" ht="15.75">
      <c r="A4" s="809" t="s">
        <v>446</v>
      </c>
      <c r="B4" s="34">
        <v>5100</v>
      </c>
      <c r="C4" s="709">
        <v>35000</v>
      </c>
    </row>
    <row r="5" spans="1:3" s="33" customFormat="1" ht="15.75">
      <c r="A5" s="810" t="s">
        <v>447</v>
      </c>
      <c r="B5" s="291">
        <v>5200</v>
      </c>
      <c r="C5" s="710">
        <v>40000</v>
      </c>
    </row>
    <row r="6" spans="1:3" s="33" customFormat="1" ht="15.75">
      <c r="A6" s="810" t="s">
        <v>448</v>
      </c>
      <c r="B6" s="291">
        <v>5200</v>
      </c>
      <c r="C6" s="710">
        <v>11000</v>
      </c>
    </row>
    <row r="7" spans="1:3" s="33" customFormat="1" ht="15.75">
      <c r="A7" s="810" t="s">
        <v>449</v>
      </c>
      <c r="B7" s="291">
        <v>5200</v>
      </c>
      <c r="C7" s="710">
        <v>18876</v>
      </c>
    </row>
    <row r="8" spans="1:3" s="33" customFormat="1" ht="32.25" thickBot="1">
      <c r="A8" s="810" t="s">
        <v>450</v>
      </c>
      <c r="B8" s="291">
        <v>5200</v>
      </c>
      <c r="C8" s="710">
        <v>12000</v>
      </c>
    </row>
    <row r="9" spans="1:3" ht="16.5" thickBot="1">
      <c r="A9" s="35" t="s">
        <v>30</v>
      </c>
      <c r="B9" s="21"/>
      <c r="C9" s="711">
        <f>SUM(C3:C8)</f>
        <v>151876</v>
      </c>
    </row>
    <row r="10" spans="1:3" ht="15.75">
      <c r="A10" s="47"/>
      <c r="B10" s="37"/>
      <c r="C10" s="36"/>
    </row>
    <row r="11" spans="1:3" ht="19.5" thickBot="1">
      <c r="A11" s="894" t="s">
        <v>442</v>
      </c>
      <c r="B11" s="894"/>
      <c r="C11" s="894"/>
    </row>
    <row r="12" spans="1:3" ht="38.25" thickBot="1">
      <c r="A12" s="28" t="s">
        <v>29</v>
      </c>
      <c r="B12" s="29" t="s">
        <v>7</v>
      </c>
      <c r="C12" s="38" t="s">
        <v>130</v>
      </c>
    </row>
    <row r="13" spans="1:3" ht="31.5">
      <c r="A13" s="319" t="s">
        <v>287</v>
      </c>
      <c r="B13" s="39">
        <v>2200</v>
      </c>
      <c r="C13" s="23">
        <f>146896+25000</f>
        <v>171896</v>
      </c>
    </row>
    <row r="14" spans="1:3" ht="15.75">
      <c r="A14" s="31" t="s">
        <v>31</v>
      </c>
      <c r="B14" s="17">
        <v>2200</v>
      </c>
      <c r="C14" s="23">
        <v>300000</v>
      </c>
    </row>
    <row r="15" spans="1:3" ht="31.5">
      <c r="A15" s="31" t="s">
        <v>288</v>
      </c>
      <c r="B15" s="17">
        <v>5200</v>
      </c>
      <c r="C15" s="23">
        <v>419317</v>
      </c>
    </row>
    <row r="16" spans="1:3" ht="15.75">
      <c r="A16" s="31" t="s">
        <v>289</v>
      </c>
      <c r="B16" s="17">
        <v>2200</v>
      </c>
      <c r="C16" s="23">
        <v>62111</v>
      </c>
    </row>
    <row r="17" spans="1:3" ht="15.75">
      <c r="A17" s="31" t="s">
        <v>290</v>
      </c>
      <c r="B17" s="17">
        <v>2200</v>
      </c>
      <c r="C17" s="23">
        <v>12010</v>
      </c>
    </row>
    <row r="18" spans="1:3" ht="16.5" thickBot="1">
      <c r="A18" s="31" t="s">
        <v>201</v>
      </c>
      <c r="B18" s="17">
        <v>2200</v>
      </c>
      <c r="C18" s="320">
        <v>6000</v>
      </c>
    </row>
    <row r="19" spans="1:3" ht="16.5" thickBot="1">
      <c r="A19" s="41" t="s">
        <v>30</v>
      </c>
      <c r="B19" s="21"/>
      <c r="C19" s="42">
        <f>SUM(C13:C18)</f>
        <v>971334</v>
      </c>
    </row>
    <row r="20" spans="1:3" ht="15.75" hidden="1">
      <c r="A20" s="47"/>
      <c r="B20" s="37"/>
      <c r="C20" s="36"/>
    </row>
    <row r="21" spans="1:3" ht="15.75" hidden="1">
      <c r="A21" s="47"/>
      <c r="B21" s="37"/>
      <c r="C21" s="36"/>
    </row>
    <row r="22" spans="1:3" ht="21" hidden="1" thickBot="1">
      <c r="A22" s="896" t="s">
        <v>154</v>
      </c>
      <c r="B22" s="896"/>
      <c r="C22" s="896"/>
    </row>
    <row r="23" spans="1:3" ht="38.25" hidden="1" thickBot="1">
      <c r="A23" s="28" t="s">
        <v>29</v>
      </c>
      <c r="B23" s="29" t="s">
        <v>7</v>
      </c>
      <c r="C23" s="38" t="s">
        <v>130</v>
      </c>
    </row>
    <row r="24" spans="1:3" ht="16.5" hidden="1" thickBot="1">
      <c r="A24" s="51" t="s">
        <v>155</v>
      </c>
      <c r="B24" s="52">
        <v>5214</v>
      </c>
      <c r="C24" s="53"/>
    </row>
    <row r="25" spans="1:3" ht="15.75" hidden="1">
      <c r="A25" s="48" t="s">
        <v>164</v>
      </c>
      <c r="B25" s="49"/>
      <c r="C25" s="50">
        <v>4271</v>
      </c>
    </row>
    <row r="26" spans="1:3" ht="15.75">
      <c r="A26" s="47"/>
      <c r="B26" s="37"/>
      <c r="C26" s="36"/>
    </row>
    <row r="27" spans="1:3" ht="19.5" thickBot="1">
      <c r="A27" s="894" t="s">
        <v>443</v>
      </c>
      <c r="B27" s="894"/>
      <c r="C27" s="894"/>
    </row>
    <row r="28" spans="1:3" ht="38.25" thickBot="1">
      <c r="A28" s="28" t="s">
        <v>29</v>
      </c>
      <c r="B28" s="29" t="s">
        <v>7</v>
      </c>
      <c r="C28" s="38" t="s">
        <v>130</v>
      </c>
    </row>
    <row r="29" spans="1:3" ht="15.75">
      <c r="A29" s="43" t="s">
        <v>291</v>
      </c>
      <c r="B29" s="17">
        <v>2200</v>
      </c>
      <c r="C29" s="267">
        <v>100</v>
      </c>
    </row>
    <row r="30" spans="1:3" ht="15.75">
      <c r="A30" s="25" t="s">
        <v>292</v>
      </c>
      <c r="B30" s="17">
        <v>2200</v>
      </c>
      <c r="C30" s="267">
        <v>6000</v>
      </c>
    </row>
    <row r="31" spans="1:3" ht="32.25" thickBot="1">
      <c r="A31" s="648" t="s">
        <v>376</v>
      </c>
      <c r="B31" s="17">
        <v>2200</v>
      </c>
      <c r="C31" s="712">
        <f>30000+10200</f>
        <v>40200</v>
      </c>
    </row>
    <row r="32" spans="1:3" ht="16.5" thickBot="1">
      <c r="A32" s="44" t="s">
        <v>30</v>
      </c>
      <c r="B32" s="21"/>
      <c r="C32" s="711">
        <f>SUM(C29:C31)</f>
        <v>46300</v>
      </c>
    </row>
    <row r="34" spans="1:3" ht="19.5" thickBot="1">
      <c r="A34" s="717" t="s">
        <v>444</v>
      </c>
      <c r="B34" s="354"/>
      <c r="C34" s="1"/>
    </row>
    <row r="35" spans="1:3" ht="30.75" thickBot="1">
      <c r="A35" s="268" t="s">
        <v>48</v>
      </c>
      <c r="B35" s="269" t="s">
        <v>7</v>
      </c>
      <c r="C35" s="270" t="s">
        <v>383</v>
      </c>
    </row>
    <row r="36" spans="1:4" ht="15">
      <c r="A36" s="240" t="s">
        <v>293</v>
      </c>
      <c r="B36" s="236">
        <v>2300</v>
      </c>
      <c r="C36" s="22">
        <f>3200+4541</f>
        <v>7741</v>
      </c>
      <c r="D36" s="852"/>
    </row>
    <row r="37" spans="1:4" ht="15">
      <c r="A37" s="849" t="s">
        <v>580</v>
      </c>
      <c r="B37" s="236">
        <v>5200</v>
      </c>
      <c r="C37" s="355">
        <v>5000</v>
      </c>
      <c r="D37" s="852"/>
    </row>
    <row r="38" spans="1:4" ht="15">
      <c r="A38" s="850" t="s">
        <v>433</v>
      </c>
      <c r="B38" s="236">
        <v>2200</v>
      </c>
      <c r="C38" s="714">
        <f>9000+4000</f>
        <v>13000</v>
      </c>
      <c r="D38" s="852"/>
    </row>
    <row r="39" spans="1:4" ht="30">
      <c r="A39" s="811" t="s">
        <v>434</v>
      </c>
      <c r="B39" s="236">
        <v>5200</v>
      </c>
      <c r="C39" s="356">
        <f>5278+7420</f>
        <v>12698</v>
      </c>
      <c r="D39" s="852"/>
    </row>
    <row r="40" spans="1:4" ht="15">
      <c r="A40" s="812" t="s">
        <v>435</v>
      </c>
      <c r="B40" s="236">
        <v>5200</v>
      </c>
      <c r="C40" s="357">
        <v>10503</v>
      </c>
      <c r="D40" s="852"/>
    </row>
    <row r="41" spans="1:4" ht="30">
      <c r="A41" s="812" t="s">
        <v>436</v>
      </c>
      <c r="B41" s="236">
        <v>5200</v>
      </c>
      <c r="C41" s="361">
        <f>21780-13356</f>
        <v>8424</v>
      </c>
      <c r="D41" s="852"/>
    </row>
    <row r="42" spans="1:4" ht="15">
      <c r="A42" s="813" t="s">
        <v>437</v>
      </c>
      <c r="B42" s="236">
        <v>5200</v>
      </c>
      <c r="C42" s="22">
        <v>15100</v>
      </c>
      <c r="D42" s="852"/>
    </row>
    <row r="43" spans="1:4" ht="15">
      <c r="A43" s="46" t="s">
        <v>294</v>
      </c>
      <c r="B43" s="236">
        <v>2200</v>
      </c>
      <c r="C43" s="22">
        <f>20328-1200</f>
        <v>19128</v>
      </c>
      <c r="D43" s="852"/>
    </row>
    <row r="44" spans="1:4" ht="15">
      <c r="A44" s="272" t="s">
        <v>438</v>
      </c>
      <c r="B44" s="236">
        <v>2200</v>
      </c>
      <c r="C44" s="715">
        <v>3000</v>
      </c>
      <c r="D44" s="852"/>
    </row>
    <row r="45" spans="1:4" ht="15">
      <c r="A45" s="272" t="s">
        <v>439</v>
      </c>
      <c r="B45" s="236">
        <v>2300</v>
      </c>
      <c r="C45" s="715">
        <v>600</v>
      </c>
      <c r="D45" s="852"/>
    </row>
    <row r="46" spans="1:3" ht="15">
      <c r="A46" s="272" t="s">
        <v>451</v>
      </c>
      <c r="B46" s="236">
        <v>2200</v>
      </c>
      <c r="C46" s="715">
        <f>1200+252</f>
        <v>1452</v>
      </c>
    </row>
    <row r="47" spans="1:4" ht="30">
      <c r="A47" s="240" t="s">
        <v>581</v>
      </c>
      <c r="B47" s="271">
        <v>2300</v>
      </c>
      <c r="C47" s="851">
        <v>2260</v>
      </c>
      <c r="D47" s="852"/>
    </row>
    <row r="48" spans="1:4" ht="15">
      <c r="A48" s="272" t="s">
        <v>582</v>
      </c>
      <c r="B48" s="236">
        <v>5200</v>
      </c>
      <c r="C48" s="851">
        <v>1640</v>
      </c>
      <c r="D48" s="852"/>
    </row>
    <row r="49" spans="1:4" ht="15">
      <c r="A49" s="272" t="s">
        <v>583</v>
      </c>
      <c r="B49" s="236">
        <v>2200</v>
      </c>
      <c r="C49" s="851">
        <v>10140</v>
      </c>
      <c r="D49" s="852"/>
    </row>
    <row r="50" spans="1:4" ht="15">
      <c r="A50" s="272" t="s">
        <v>584</v>
      </c>
      <c r="B50" s="236">
        <v>5200</v>
      </c>
      <c r="C50" s="851">
        <v>1936</v>
      </c>
      <c r="D50" s="852"/>
    </row>
    <row r="51" spans="1:4" ht="15">
      <c r="A51" s="272" t="s">
        <v>585</v>
      </c>
      <c r="B51" s="236">
        <v>5200</v>
      </c>
      <c r="C51" s="851">
        <v>22000</v>
      </c>
      <c r="D51" s="852"/>
    </row>
    <row r="52" spans="1:4" ht="15">
      <c r="A52" s="272" t="s">
        <v>586</v>
      </c>
      <c r="B52" s="236">
        <v>2200</v>
      </c>
      <c r="C52" s="851">
        <f>104+387</f>
        <v>491</v>
      </c>
      <c r="D52" s="852"/>
    </row>
    <row r="53" spans="1:4" ht="15">
      <c r="A53" s="716" t="s">
        <v>440</v>
      </c>
      <c r="B53" s="271">
        <v>2200</v>
      </c>
      <c r="C53" s="330">
        <v>380</v>
      </c>
      <c r="D53" s="852"/>
    </row>
    <row r="54" spans="1:4" ht="30.75" thickBot="1">
      <c r="A54" s="358" t="s">
        <v>295</v>
      </c>
      <c r="B54" s="359">
        <v>2200</v>
      </c>
      <c r="C54" s="360">
        <f>35000+46864</f>
        <v>81864</v>
      </c>
      <c r="D54" s="852"/>
    </row>
    <row r="55" spans="1:3" ht="15" thickBot="1">
      <c r="A55" s="245" t="s">
        <v>36</v>
      </c>
      <c r="B55" s="246"/>
      <c r="C55" s="247">
        <f>SUM(C36:C54)</f>
        <v>217357</v>
      </c>
    </row>
    <row r="56" spans="1:3" ht="15.75">
      <c r="A56" s="273"/>
      <c r="B56" s="37"/>
      <c r="C56" s="36"/>
    </row>
    <row r="57" spans="1:2" ht="15">
      <c r="A57" s="8" t="s">
        <v>163</v>
      </c>
      <c r="B57" s="1" t="s">
        <v>43</v>
      </c>
    </row>
  </sheetData>
  <sheetProtection/>
  <mergeCells count="4">
    <mergeCell ref="A27:C27"/>
    <mergeCell ref="A1:C1"/>
    <mergeCell ref="A11:C11"/>
    <mergeCell ref="A22:C2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77"/>
  <sheetViews>
    <sheetView zoomScalePageLayoutView="0" workbookViewId="0" topLeftCell="A1">
      <selection activeCell="K26" sqref="K26"/>
    </sheetView>
  </sheetViews>
  <sheetFormatPr defaultColWidth="17.140625" defaultRowHeight="12.75"/>
  <cols>
    <col min="1" max="1" width="1.8515625" style="275" customWidth="1"/>
    <col min="2" max="2" width="40.140625" style="275" customWidth="1"/>
    <col min="3" max="3" width="19.28125" style="275" customWidth="1"/>
    <col min="4" max="4" width="9.140625" style="279" customWidth="1"/>
    <col min="5" max="5" width="10.8515625" style="279" customWidth="1"/>
    <col min="6" max="6" width="7.7109375" style="274" customWidth="1"/>
    <col min="7" max="7" width="11.421875" style="274" customWidth="1"/>
    <col min="8" max="10" width="9.57421875" style="274" customWidth="1"/>
    <col min="11" max="11" width="8.7109375" style="275" customWidth="1"/>
    <col min="12" max="12" width="10.00390625" style="275" customWidth="1"/>
    <col min="13" max="13" width="9.57421875" style="275" customWidth="1"/>
    <col min="14" max="14" width="10.57421875" style="275" customWidth="1"/>
    <col min="15" max="15" width="9.8515625" style="275" customWidth="1"/>
    <col min="16" max="16" width="17.140625" style="275" customWidth="1"/>
    <col min="17" max="17" width="6.8515625" style="275" customWidth="1"/>
    <col min="18" max="253" width="17.140625" style="275" customWidth="1"/>
    <col min="254" max="254" width="1.8515625" style="275" customWidth="1"/>
    <col min="255" max="255" width="31.57421875" style="275" customWidth="1"/>
    <col min="256" max="16384" width="17.57421875" style="275" customWidth="1"/>
  </cols>
  <sheetData>
    <row r="1" spans="2:9" ht="15.75">
      <c r="B1" s="897" t="s">
        <v>58</v>
      </c>
      <c r="C1" s="897"/>
      <c r="D1" s="897"/>
      <c r="E1" s="897"/>
      <c r="F1" s="662"/>
      <c r="G1" s="662"/>
      <c r="H1" s="662"/>
      <c r="I1" s="662"/>
    </row>
    <row r="2" spans="2:9" ht="15.75" customHeight="1">
      <c r="B2" s="898" t="s">
        <v>411</v>
      </c>
      <c r="C2" s="898"/>
      <c r="D2" s="898"/>
      <c r="E2" s="898"/>
      <c r="F2" s="276"/>
      <c r="G2" s="276"/>
      <c r="H2" s="276"/>
      <c r="I2" s="276"/>
    </row>
    <row r="3" spans="2:9" ht="15.75">
      <c r="B3" s="899" t="s">
        <v>604</v>
      </c>
      <c r="C3" s="899"/>
      <c r="D3" s="899"/>
      <c r="E3" s="899"/>
      <c r="F3" s="277"/>
      <c r="G3" s="277"/>
      <c r="H3" s="277"/>
      <c r="I3" s="277"/>
    </row>
    <row r="4" spans="2:9" ht="15.75">
      <c r="B4" s="45" t="s">
        <v>432</v>
      </c>
      <c r="C4" s="45"/>
      <c r="D4" s="45"/>
      <c r="E4" s="45"/>
      <c r="F4" s="278"/>
      <c r="G4" s="278"/>
      <c r="H4" s="278"/>
      <c r="I4" s="278"/>
    </row>
    <row r="5" spans="2:9" ht="14.25" customHeight="1">
      <c r="B5" s="900" t="s">
        <v>412</v>
      </c>
      <c r="C5" s="900"/>
      <c r="D5" s="900"/>
      <c r="E5" s="900"/>
      <c r="F5" s="54"/>
      <c r="G5" s="54"/>
      <c r="H5" s="54"/>
      <c r="I5" s="54"/>
    </row>
    <row r="6" spans="2:10" ht="6.75" customHeight="1">
      <c r="B6" s="55"/>
      <c r="C6" s="55"/>
      <c r="F6" s="54"/>
      <c r="G6" s="54"/>
      <c r="H6" s="54"/>
      <c r="I6" s="54"/>
      <c r="J6" s="54"/>
    </row>
    <row r="7" spans="2:6" ht="12" customHeight="1">
      <c r="B7" s="298"/>
      <c r="C7" s="298"/>
      <c r="D7" s="299"/>
      <c r="E7" s="299">
        <v>2200</v>
      </c>
      <c r="F7" s="299">
        <v>3200</v>
      </c>
    </row>
    <row r="8" spans="2:6" ht="25.5">
      <c r="B8" s="297" t="s">
        <v>136</v>
      </c>
      <c r="C8" s="297" t="s">
        <v>114</v>
      </c>
      <c r="D8" s="685" t="s">
        <v>413</v>
      </c>
      <c r="E8" s="686" t="s">
        <v>15</v>
      </c>
      <c r="F8" s="296" t="s">
        <v>429</v>
      </c>
    </row>
    <row r="9" spans="2:6" ht="14.25">
      <c r="B9" s="298" t="s">
        <v>118</v>
      </c>
      <c r="C9" s="298" t="s">
        <v>76</v>
      </c>
      <c r="D9" s="687">
        <v>4000</v>
      </c>
      <c r="E9" s="693"/>
      <c r="F9" s="690">
        <v>4000</v>
      </c>
    </row>
    <row r="10" spans="2:6" ht="14.25">
      <c r="B10" s="300" t="s">
        <v>165</v>
      </c>
      <c r="C10" s="300" t="s">
        <v>119</v>
      </c>
      <c r="D10" s="687">
        <v>700</v>
      </c>
      <c r="E10" s="693"/>
      <c r="F10" s="690">
        <v>700</v>
      </c>
    </row>
    <row r="11" spans="2:6" ht="14.25">
      <c r="B11" s="298" t="s">
        <v>137</v>
      </c>
      <c r="C11" s="298" t="s">
        <v>166</v>
      </c>
      <c r="D11" s="687">
        <v>1400</v>
      </c>
      <c r="E11" s="693"/>
      <c r="F11" s="690">
        <v>1400</v>
      </c>
    </row>
    <row r="12" spans="2:6" ht="14.25">
      <c r="B12" s="298" t="s">
        <v>138</v>
      </c>
      <c r="C12" s="298" t="s">
        <v>115</v>
      </c>
      <c r="D12" s="687">
        <v>600</v>
      </c>
      <c r="E12" s="693"/>
      <c r="F12" s="690">
        <v>600</v>
      </c>
    </row>
    <row r="13" spans="2:6" ht="14.25">
      <c r="B13" s="298" t="s">
        <v>139</v>
      </c>
      <c r="C13" s="298" t="s">
        <v>72</v>
      </c>
      <c r="D13" s="687">
        <v>600</v>
      </c>
      <c r="E13" s="693"/>
      <c r="F13" s="690">
        <v>600</v>
      </c>
    </row>
    <row r="14" spans="2:6" ht="14.25">
      <c r="B14" s="298" t="s">
        <v>144</v>
      </c>
      <c r="C14" s="298" t="s">
        <v>145</v>
      </c>
      <c r="D14" s="687">
        <v>1600</v>
      </c>
      <c r="E14" s="693"/>
      <c r="F14" s="690">
        <v>1600</v>
      </c>
    </row>
    <row r="15" spans="2:6" ht="14.25">
      <c r="B15" s="298" t="s">
        <v>598</v>
      </c>
      <c r="C15" s="298" t="s">
        <v>599</v>
      </c>
      <c r="D15" s="687">
        <v>1000</v>
      </c>
      <c r="E15" s="693"/>
      <c r="F15" s="690">
        <v>1000</v>
      </c>
    </row>
    <row r="16" spans="2:6" ht="14.25">
      <c r="B16" s="297" t="s">
        <v>430</v>
      </c>
      <c r="C16" s="297" t="s">
        <v>114</v>
      </c>
      <c r="D16" s="688"/>
      <c r="E16" s="693"/>
      <c r="F16" s="689"/>
    </row>
    <row r="17" spans="2:6" ht="14.25">
      <c r="B17" s="298" t="s">
        <v>600</v>
      </c>
      <c r="C17" s="302" t="s">
        <v>601</v>
      </c>
      <c r="D17" s="687">
        <v>1950</v>
      </c>
      <c r="E17" s="693"/>
      <c r="F17" s="690">
        <v>1950</v>
      </c>
    </row>
    <row r="18" spans="2:6" ht="14.25">
      <c r="B18" s="298" t="s">
        <v>140</v>
      </c>
      <c r="C18" s="298" t="s">
        <v>68</v>
      </c>
      <c r="D18" s="687">
        <v>75000</v>
      </c>
      <c r="E18" s="701">
        <v>75000</v>
      </c>
      <c r="F18" s="689"/>
    </row>
    <row r="19" spans="2:6" ht="14.25">
      <c r="B19" s="298" t="s">
        <v>104</v>
      </c>
      <c r="C19" s="298" t="s">
        <v>117</v>
      </c>
      <c r="D19" s="687">
        <f>195000+50000-18000</f>
        <v>227000</v>
      </c>
      <c r="E19" s="701"/>
      <c r="F19" s="690">
        <f>195000+50000-18000</f>
        <v>227000</v>
      </c>
    </row>
    <row r="20" spans="2:6" ht="14.25">
      <c r="B20" s="298" t="s">
        <v>141</v>
      </c>
      <c r="C20" s="298" t="s">
        <v>110</v>
      </c>
      <c r="D20" s="687">
        <v>10000</v>
      </c>
      <c r="E20" s="701">
        <v>10000</v>
      </c>
      <c r="F20" s="689"/>
    </row>
    <row r="21" spans="2:6" ht="14.25">
      <c r="B21" s="298" t="s">
        <v>167</v>
      </c>
      <c r="C21" s="298" t="s">
        <v>115</v>
      </c>
      <c r="D21" s="687">
        <v>1000</v>
      </c>
      <c r="E21" s="701"/>
      <c r="F21" s="690">
        <v>1000</v>
      </c>
    </row>
    <row r="22" spans="2:6" ht="14.25">
      <c r="B22" s="298" t="s">
        <v>142</v>
      </c>
      <c r="C22" s="298" t="s">
        <v>71</v>
      </c>
      <c r="D22" s="687">
        <v>50000</v>
      </c>
      <c r="E22" s="701"/>
      <c r="F22" s="690">
        <v>50000</v>
      </c>
    </row>
    <row r="23" spans="2:6" ht="16.5" customHeight="1">
      <c r="B23" s="298" t="s">
        <v>218</v>
      </c>
      <c r="C23" s="298" t="s">
        <v>143</v>
      </c>
      <c r="D23" s="687"/>
      <c r="E23" s="701"/>
      <c r="F23" s="689"/>
    </row>
    <row r="24" spans="2:6" ht="14.25">
      <c r="B24" s="298" t="s">
        <v>414</v>
      </c>
      <c r="C24" s="298" t="s">
        <v>415</v>
      </c>
      <c r="D24" s="687">
        <v>1200</v>
      </c>
      <c r="E24" s="701"/>
      <c r="F24" s="690">
        <v>1200</v>
      </c>
    </row>
    <row r="25" spans="2:6" ht="14.25">
      <c r="B25" s="298" t="s">
        <v>258</v>
      </c>
      <c r="C25" s="298" t="s">
        <v>76</v>
      </c>
      <c r="D25" s="687">
        <v>3000</v>
      </c>
      <c r="E25" s="701"/>
      <c r="F25" s="690">
        <v>3000</v>
      </c>
    </row>
    <row r="26" spans="2:6" ht="14.25">
      <c r="B26" s="298" t="s">
        <v>116</v>
      </c>
      <c r="C26" s="298" t="s">
        <v>72</v>
      </c>
      <c r="D26" s="687">
        <v>700</v>
      </c>
      <c r="E26" s="701"/>
      <c r="F26" s="690">
        <v>700</v>
      </c>
    </row>
    <row r="27" spans="2:6" ht="14.25">
      <c r="B27" s="298" t="s">
        <v>144</v>
      </c>
      <c r="C27" s="298" t="s">
        <v>145</v>
      </c>
      <c r="D27" s="687">
        <v>700</v>
      </c>
      <c r="E27" s="701"/>
      <c r="F27" s="690">
        <v>700</v>
      </c>
    </row>
    <row r="28" spans="2:6" ht="14.25">
      <c r="B28" s="298" t="s">
        <v>416</v>
      </c>
      <c r="C28" s="298" t="s">
        <v>417</v>
      </c>
      <c r="D28" s="687">
        <v>2000</v>
      </c>
      <c r="E28" s="701"/>
      <c r="F28" s="690">
        <v>2000</v>
      </c>
    </row>
    <row r="29" spans="2:6" ht="14.25">
      <c r="B29" s="298" t="s">
        <v>146</v>
      </c>
      <c r="C29" s="298" t="s">
        <v>59</v>
      </c>
      <c r="D29" s="687">
        <v>700</v>
      </c>
      <c r="E29" s="701"/>
      <c r="F29" s="690">
        <v>700</v>
      </c>
    </row>
    <row r="30" spans="2:6" ht="14.25">
      <c r="B30" s="702" t="s">
        <v>147</v>
      </c>
      <c r="C30" s="297" t="s">
        <v>114</v>
      </c>
      <c r="D30" s="692"/>
      <c r="E30" s="705"/>
      <c r="F30" s="706"/>
    </row>
    <row r="31" spans="2:6" ht="25.5">
      <c r="B31" s="298" t="s">
        <v>418</v>
      </c>
      <c r="C31" s="298" t="s">
        <v>106</v>
      </c>
      <c r="D31" s="687">
        <v>800</v>
      </c>
      <c r="E31" s="701">
        <v>800</v>
      </c>
      <c r="F31" s="689"/>
    </row>
    <row r="32" spans="2:6" ht="17.25" customHeight="1">
      <c r="B32" s="298" t="s">
        <v>419</v>
      </c>
      <c r="C32" s="298" t="s">
        <v>420</v>
      </c>
      <c r="D32" s="687">
        <v>7000</v>
      </c>
      <c r="E32" s="701">
        <v>7000</v>
      </c>
      <c r="F32" s="689"/>
    </row>
    <row r="33" spans="2:6" ht="16.5" customHeight="1">
      <c r="B33" s="298" t="s">
        <v>218</v>
      </c>
      <c r="C33" s="298" t="s">
        <v>143</v>
      </c>
      <c r="D33" s="687">
        <f>2400-363</f>
        <v>2037</v>
      </c>
      <c r="E33" s="701">
        <f>2400-363</f>
        <v>2037</v>
      </c>
      <c r="F33" s="689"/>
    </row>
    <row r="34" spans="2:6" ht="14.25">
      <c r="B34" s="298" t="s">
        <v>148</v>
      </c>
      <c r="C34" s="298" t="s">
        <v>106</v>
      </c>
      <c r="D34" s="687">
        <v>3100</v>
      </c>
      <c r="E34" s="701">
        <v>3100</v>
      </c>
      <c r="F34" s="689"/>
    </row>
    <row r="35" spans="2:6" ht="14.25">
      <c r="B35" s="297" t="s">
        <v>149</v>
      </c>
      <c r="C35" s="297" t="s">
        <v>114</v>
      </c>
      <c r="D35" s="692"/>
      <c r="E35" s="705"/>
      <c r="F35" s="706"/>
    </row>
    <row r="36" spans="2:6" ht="14.25">
      <c r="B36" s="298" t="s">
        <v>150</v>
      </c>
      <c r="C36" s="298" t="s">
        <v>106</v>
      </c>
      <c r="D36" s="687">
        <f>14480-1280</f>
        <v>13200</v>
      </c>
      <c r="E36" s="701"/>
      <c r="F36" s="690">
        <f>14480-1280</f>
        <v>13200</v>
      </c>
    </row>
    <row r="37" spans="2:6" ht="14.25">
      <c r="B37" s="297" t="s">
        <v>151</v>
      </c>
      <c r="C37" s="296"/>
      <c r="D37" s="693"/>
      <c r="E37" s="701"/>
      <c r="F37" s="689"/>
    </row>
    <row r="38" spans="2:6" ht="14.25">
      <c r="B38" s="298" t="s">
        <v>152</v>
      </c>
      <c r="C38" s="298" t="s">
        <v>153</v>
      </c>
      <c r="D38" s="694">
        <v>2500</v>
      </c>
      <c r="E38" s="707">
        <v>2500</v>
      </c>
      <c r="F38" s="695"/>
    </row>
    <row r="39" spans="2:6" ht="14.25">
      <c r="B39" s="298" t="s">
        <v>219</v>
      </c>
      <c r="C39" s="298" t="s">
        <v>220</v>
      </c>
      <c r="D39" s="694">
        <v>1680</v>
      </c>
      <c r="E39" s="707">
        <v>1680</v>
      </c>
      <c r="F39" s="695"/>
    </row>
    <row r="40" spans="2:6" ht="14.25">
      <c r="B40" s="297" t="s">
        <v>431</v>
      </c>
      <c r="C40" s="297" t="s">
        <v>114</v>
      </c>
      <c r="D40" s="688"/>
      <c r="E40" s="693"/>
      <c r="F40" s="689"/>
    </row>
    <row r="41" spans="2:6" ht="14.25">
      <c r="B41" s="696" t="s">
        <v>421</v>
      </c>
      <c r="C41" s="298" t="s">
        <v>105</v>
      </c>
      <c r="D41" s="299">
        <v>1000</v>
      </c>
      <c r="E41" s="701"/>
      <c r="F41" s="691">
        <v>1000</v>
      </c>
    </row>
    <row r="42" spans="2:6" ht="14.25">
      <c r="B42" s="696" t="s">
        <v>297</v>
      </c>
      <c r="C42" s="298" t="s">
        <v>105</v>
      </c>
      <c r="D42" s="299">
        <v>1500</v>
      </c>
      <c r="E42" s="701"/>
      <c r="F42" s="691">
        <v>1500</v>
      </c>
    </row>
    <row r="43" spans="2:6" ht="14.25">
      <c r="B43" s="696" t="s">
        <v>296</v>
      </c>
      <c r="C43" s="298" t="s">
        <v>105</v>
      </c>
      <c r="D43" s="299">
        <v>1500</v>
      </c>
      <c r="E43" s="701"/>
      <c r="F43" s="690">
        <v>1500</v>
      </c>
    </row>
    <row r="44" spans="2:6" ht="14.25">
      <c r="B44" s="696" t="s">
        <v>422</v>
      </c>
      <c r="C44" s="298" t="s">
        <v>105</v>
      </c>
      <c r="D44" s="299">
        <v>1000</v>
      </c>
      <c r="E44" s="701"/>
      <c r="F44" s="690">
        <v>1000</v>
      </c>
    </row>
    <row r="45" spans="2:6" ht="14.25">
      <c r="B45" s="298" t="s">
        <v>108</v>
      </c>
      <c r="C45" s="298" t="s">
        <v>115</v>
      </c>
      <c r="D45" s="299">
        <v>1000</v>
      </c>
      <c r="E45" s="701"/>
      <c r="F45" s="301">
        <v>1000</v>
      </c>
    </row>
    <row r="46" spans="2:6" ht="14.25">
      <c r="B46" s="298" t="s">
        <v>107</v>
      </c>
      <c r="C46" s="298" t="s">
        <v>115</v>
      </c>
      <c r="D46" s="299">
        <v>1000</v>
      </c>
      <c r="E46" s="701"/>
      <c r="F46" s="301">
        <v>1000</v>
      </c>
    </row>
    <row r="47" spans="2:6" ht="14.25">
      <c r="B47" s="298" t="s">
        <v>298</v>
      </c>
      <c r="C47" s="298" t="s">
        <v>299</v>
      </c>
      <c r="D47" s="299">
        <v>1500</v>
      </c>
      <c r="E47" s="701"/>
      <c r="F47" s="301">
        <v>1500</v>
      </c>
    </row>
    <row r="48" spans="2:6" ht="14.25">
      <c r="B48" s="298" t="s">
        <v>129</v>
      </c>
      <c r="C48" s="298" t="s">
        <v>115</v>
      </c>
      <c r="D48" s="299">
        <v>1000</v>
      </c>
      <c r="E48" s="701"/>
      <c r="F48" s="301">
        <v>1000</v>
      </c>
    </row>
    <row r="49" spans="2:6" ht="14.25">
      <c r="B49" s="298" t="s">
        <v>423</v>
      </c>
      <c r="C49" s="298" t="s">
        <v>115</v>
      </c>
      <c r="D49" s="299">
        <v>1000</v>
      </c>
      <c r="E49" s="701"/>
      <c r="F49" s="301">
        <v>1000</v>
      </c>
    </row>
    <row r="50" spans="2:6" ht="16.5" customHeight="1">
      <c r="B50" s="298" t="s">
        <v>424</v>
      </c>
      <c r="C50" s="298" t="s">
        <v>425</v>
      </c>
      <c r="D50" s="299">
        <v>2400</v>
      </c>
      <c r="E50" s="701"/>
      <c r="F50" s="301">
        <v>2400</v>
      </c>
    </row>
    <row r="51" spans="2:6" ht="14.25">
      <c r="B51" s="298" t="s">
        <v>259</v>
      </c>
      <c r="C51" s="298" t="s">
        <v>109</v>
      </c>
      <c r="D51" s="299">
        <v>500</v>
      </c>
      <c r="E51" s="701"/>
      <c r="F51" s="301">
        <v>500</v>
      </c>
    </row>
    <row r="52" spans="2:6" ht="14.25">
      <c r="B52" s="298" t="s">
        <v>378</v>
      </c>
      <c r="C52" s="298" t="s">
        <v>109</v>
      </c>
      <c r="D52" s="299">
        <v>500</v>
      </c>
      <c r="E52" s="701"/>
      <c r="F52" s="301">
        <v>500</v>
      </c>
    </row>
    <row r="53" spans="2:6" ht="14.25">
      <c r="B53" s="298" t="s">
        <v>260</v>
      </c>
      <c r="C53" s="298" t="s">
        <v>261</v>
      </c>
      <c r="D53" s="299">
        <v>400</v>
      </c>
      <c r="E53" s="701"/>
      <c r="F53" s="301">
        <v>400</v>
      </c>
    </row>
    <row r="54" spans="2:6" ht="14.25">
      <c r="B54" s="703" t="s">
        <v>426</v>
      </c>
      <c r="C54" s="298" t="s">
        <v>261</v>
      </c>
      <c r="D54" s="704">
        <v>400</v>
      </c>
      <c r="E54" s="701"/>
      <c r="F54" s="697">
        <v>400</v>
      </c>
    </row>
    <row r="55" spans="2:6" ht="14.25">
      <c r="B55" s="703" t="s">
        <v>300</v>
      </c>
      <c r="C55" s="298" t="s">
        <v>261</v>
      </c>
      <c r="D55" s="704">
        <v>400</v>
      </c>
      <c r="E55" s="701"/>
      <c r="F55" s="697">
        <v>400</v>
      </c>
    </row>
    <row r="56" spans="2:6" ht="14.25">
      <c r="B56" s="298" t="s">
        <v>427</v>
      </c>
      <c r="C56" s="298" t="s">
        <v>145</v>
      </c>
      <c r="D56" s="299">
        <v>300</v>
      </c>
      <c r="E56" s="701"/>
      <c r="F56" s="301">
        <v>300</v>
      </c>
    </row>
    <row r="57" spans="2:6" ht="14.25">
      <c r="B57" s="298" t="s">
        <v>262</v>
      </c>
      <c r="C57" s="298" t="s">
        <v>145</v>
      </c>
      <c r="D57" s="299">
        <v>300</v>
      </c>
      <c r="E57" s="698"/>
      <c r="F57" s="301">
        <v>300</v>
      </c>
    </row>
    <row r="58" spans="2:6" ht="14.25">
      <c r="B58" s="298" t="s">
        <v>428</v>
      </c>
      <c r="C58" s="298" t="s">
        <v>145</v>
      </c>
      <c r="D58" s="299">
        <v>100</v>
      </c>
      <c r="E58" s="698"/>
      <c r="F58" s="301">
        <v>100</v>
      </c>
    </row>
    <row r="59" spans="2:6" ht="14.25">
      <c r="B59" s="298" t="s">
        <v>247</v>
      </c>
      <c r="C59" s="298" t="s">
        <v>145</v>
      </c>
      <c r="D59" s="299">
        <v>300</v>
      </c>
      <c r="E59" s="698"/>
      <c r="F59" s="301">
        <v>300</v>
      </c>
    </row>
    <row r="60" spans="2:6" ht="14.25">
      <c r="B60" s="298" t="s">
        <v>596</v>
      </c>
      <c r="C60" s="298" t="s">
        <v>597</v>
      </c>
      <c r="D60" s="687">
        <v>280</v>
      </c>
      <c r="E60" s="698"/>
      <c r="F60" s="301">
        <v>280</v>
      </c>
    </row>
    <row r="61" spans="2:6" ht="14.25">
      <c r="B61" s="298"/>
      <c r="C61" s="699" t="s">
        <v>301</v>
      </c>
      <c r="D61" s="299">
        <f>SUM(D9:D60)</f>
        <v>429847</v>
      </c>
      <c r="E61" s="302">
        <f>SUM(E9:E59)</f>
        <v>102117</v>
      </c>
      <c r="F61" s="302">
        <f>SUM(F9:F60)</f>
        <v>327730</v>
      </c>
    </row>
    <row r="62" spans="2:6" ht="14.25">
      <c r="B62" s="363"/>
      <c r="C62"/>
      <c r="D62" s="364"/>
      <c r="E62" s="364"/>
      <c r="F62" s="295"/>
    </row>
    <row r="63" spans="2:6" ht="15.75">
      <c r="B63" s="242" t="s">
        <v>163</v>
      </c>
      <c r="C63" s="1" t="s">
        <v>43</v>
      </c>
      <c r="D63" s="365"/>
      <c r="E63" s="365"/>
      <c r="F63"/>
    </row>
    <row r="64" spans="2:6" ht="14.25">
      <c r="B64" s="363"/>
      <c r="C64"/>
      <c r="D64" s="364"/>
      <c r="E64" s="364"/>
      <c r="F64"/>
    </row>
    <row r="65" spans="2:6" ht="14.25">
      <c r="B65" s="363"/>
      <c r="C65" s="362"/>
      <c r="D65" s="364"/>
      <c r="E65" s="364"/>
      <c r="F65"/>
    </row>
    <row r="66" spans="2:6" ht="14.25">
      <c r="B66" s="363"/>
      <c r="C66" s="362"/>
      <c r="D66" s="364"/>
      <c r="E66" s="364"/>
      <c r="F66"/>
    </row>
    <row r="67" spans="2:6" ht="14.25">
      <c r="B67" s="363"/>
      <c r="C67"/>
      <c r="D67" s="364"/>
      <c r="E67" s="364"/>
      <c r="F67"/>
    </row>
    <row r="71" spans="3:5" ht="14.25">
      <c r="C71"/>
      <c r="D71" s="364"/>
      <c r="E71" s="364"/>
    </row>
    <row r="72" spans="3:5" ht="14.25">
      <c r="C72"/>
      <c r="D72" s="364"/>
      <c r="E72" s="364"/>
    </row>
    <row r="73" spans="3:5" ht="14.25">
      <c r="C73" s="700"/>
      <c r="D73" s="365"/>
      <c r="E73" s="365"/>
    </row>
    <row r="74" spans="3:5" ht="14.25">
      <c r="C74" s="700"/>
      <c r="D74" s="364"/>
      <c r="E74" s="364"/>
    </row>
    <row r="75" spans="3:5" ht="14.25">
      <c r="C75" s="362"/>
      <c r="D75" s="364"/>
      <c r="E75" s="364"/>
    </row>
    <row r="76" spans="3:5" ht="14.25">
      <c r="C76" s="362"/>
      <c r="D76" s="364"/>
      <c r="E76" s="364"/>
    </row>
    <row r="77" spans="3:5" ht="14.25">
      <c r="C77"/>
      <c r="D77" s="364"/>
      <c r="E77" s="364"/>
    </row>
  </sheetData>
  <sheetProtection/>
  <mergeCells count="4">
    <mergeCell ref="B1:E1"/>
    <mergeCell ref="B2:E2"/>
    <mergeCell ref="B3:E3"/>
    <mergeCell ref="B5:E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Q31" sqref="Q31"/>
    </sheetView>
  </sheetViews>
  <sheetFormatPr defaultColWidth="9.28125" defaultRowHeight="12.75"/>
  <cols>
    <col min="1" max="1" width="8.57421875" style="1" customWidth="1"/>
    <col min="2" max="2" width="48.7109375" style="8" customWidth="1"/>
    <col min="3" max="5" width="9.140625" style="1" customWidth="1"/>
    <col min="6" max="6" width="8.7109375" style="10" customWidth="1"/>
    <col min="7" max="7" width="8.28125" style="1" customWidth="1"/>
    <col min="8" max="8" width="11.28125" style="1" customWidth="1"/>
    <col min="9" max="9" width="9.28125" style="6" customWidth="1"/>
    <col min="10" max="11" width="9.57421875" style="6" customWidth="1"/>
    <col min="12" max="13" width="8.8515625" style="6" customWidth="1"/>
    <col min="14" max="14" width="8.421875" style="1" customWidth="1"/>
    <col min="15" max="255" width="9.28125" style="1" customWidth="1"/>
    <col min="256" max="16384" width="8.57421875" style="1" customWidth="1"/>
  </cols>
  <sheetData>
    <row r="1" spans="2:8" ht="15">
      <c r="B1" s="186" t="s">
        <v>0</v>
      </c>
      <c r="G1" s="6"/>
      <c r="H1" s="6"/>
    </row>
    <row r="2" spans="1:8" ht="15">
      <c r="A2" s="193" t="s">
        <v>344</v>
      </c>
      <c r="B2" s="193"/>
      <c r="C2" s="611"/>
      <c r="D2" s="611"/>
      <c r="E2" s="769"/>
      <c r="G2" s="6"/>
      <c r="H2" s="6"/>
    </row>
    <row r="3" spans="2:8" ht="15">
      <c r="B3" s="129" t="s">
        <v>380</v>
      </c>
      <c r="G3" s="6"/>
      <c r="H3" s="6"/>
    </row>
    <row r="4" spans="1:14" s="11" customFormat="1" ht="15">
      <c r="A4" s="614" t="s">
        <v>345</v>
      </c>
      <c r="B4" s="615"/>
      <c r="C4" s="112" t="s">
        <v>346</v>
      </c>
      <c r="D4" s="112" t="s">
        <v>347</v>
      </c>
      <c r="E4" s="112" t="s">
        <v>514</v>
      </c>
      <c r="F4" s="128" t="s">
        <v>348</v>
      </c>
      <c r="G4" s="128" t="s">
        <v>349</v>
      </c>
      <c r="H4" s="128" t="s">
        <v>350</v>
      </c>
      <c r="I4" s="128" t="s">
        <v>351</v>
      </c>
      <c r="J4" s="128" t="s">
        <v>352</v>
      </c>
      <c r="K4" s="128" t="s">
        <v>607</v>
      </c>
      <c r="L4" s="128" t="s">
        <v>353</v>
      </c>
      <c r="M4" s="128" t="s">
        <v>610</v>
      </c>
      <c r="N4" s="128" t="s">
        <v>354</v>
      </c>
    </row>
    <row r="5" spans="2:14" s="8" customFormat="1" ht="90.75" thickBot="1">
      <c r="B5" s="129"/>
      <c r="C5" s="613" t="s">
        <v>355</v>
      </c>
      <c r="D5" s="130" t="s">
        <v>356</v>
      </c>
      <c r="E5" s="130" t="s">
        <v>515</v>
      </c>
      <c r="F5" s="130" t="s">
        <v>357</v>
      </c>
      <c r="G5" s="114" t="s">
        <v>358</v>
      </c>
      <c r="H5" s="206" t="s">
        <v>359</v>
      </c>
      <c r="I5" s="114" t="s">
        <v>360</v>
      </c>
      <c r="J5" s="114" t="s">
        <v>361</v>
      </c>
      <c r="K5" s="114" t="s">
        <v>608</v>
      </c>
      <c r="L5" s="114" t="s">
        <v>362</v>
      </c>
      <c r="M5" s="114" t="s">
        <v>609</v>
      </c>
      <c r="N5" s="114" t="s">
        <v>363</v>
      </c>
    </row>
    <row r="6" spans="1:14" ht="32.25" customHeight="1" thickBot="1">
      <c r="A6" s="616" t="s">
        <v>7</v>
      </c>
      <c r="B6" s="617" t="s">
        <v>10</v>
      </c>
      <c r="C6" s="67" t="s">
        <v>379</v>
      </c>
      <c r="D6" s="67" t="s">
        <v>379</v>
      </c>
      <c r="E6" s="67" t="s">
        <v>379</v>
      </c>
      <c r="F6" s="67" t="s">
        <v>379</v>
      </c>
      <c r="G6" s="67" t="s">
        <v>379</v>
      </c>
      <c r="H6" s="67" t="s">
        <v>379</v>
      </c>
      <c r="I6" s="67" t="s">
        <v>379</v>
      </c>
      <c r="J6" s="67" t="s">
        <v>379</v>
      </c>
      <c r="K6" s="67" t="s">
        <v>379</v>
      </c>
      <c r="L6" s="67" t="s">
        <v>379</v>
      </c>
      <c r="M6" s="67" t="s">
        <v>379</v>
      </c>
      <c r="N6" s="67" t="s">
        <v>379</v>
      </c>
    </row>
    <row r="7" spans="1:14" ht="15">
      <c r="A7" s="175">
        <v>1100</v>
      </c>
      <c r="B7" s="187" t="s">
        <v>11</v>
      </c>
      <c r="C7" s="618"/>
      <c r="D7" s="684">
        <f>36878.9</f>
        <v>36878.9</v>
      </c>
      <c r="E7" s="770"/>
      <c r="F7" s="619"/>
      <c r="G7" s="620"/>
      <c r="H7" s="196"/>
      <c r="I7" s="622"/>
      <c r="J7" s="623"/>
      <c r="K7" s="623"/>
      <c r="L7" s="621"/>
      <c r="M7" s="874"/>
      <c r="N7" s="189"/>
    </row>
    <row r="8" spans="1:14" ht="32.25" customHeight="1">
      <c r="A8" s="73">
        <v>1200</v>
      </c>
      <c r="B8" s="74" t="s">
        <v>12</v>
      </c>
      <c r="C8" s="624"/>
      <c r="D8" s="624">
        <v>11103.86551</v>
      </c>
      <c r="E8" s="624"/>
      <c r="F8" s="75"/>
      <c r="G8" s="146"/>
      <c r="H8" s="75"/>
      <c r="I8" s="76"/>
      <c r="J8" s="211"/>
      <c r="K8" s="211"/>
      <c r="L8" s="83"/>
      <c r="M8" s="83"/>
      <c r="N8" s="75"/>
    </row>
    <row r="9" spans="1:14" ht="15">
      <c r="A9" s="73">
        <v>2000</v>
      </c>
      <c r="B9" s="74" t="s">
        <v>13</v>
      </c>
      <c r="C9" s="151"/>
      <c r="D9" s="144">
        <f>SUM(D10+D11+D12+D13+D14)</f>
        <v>68909.3</v>
      </c>
      <c r="E9" s="144">
        <f>SUM(E10+E11+E12+E13+E14)</f>
        <v>0</v>
      </c>
      <c r="F9" s="151">
        <f aca="true" t="shared" si="0" ref="F9:N9">SUM(F10+F11+F12+F13+F14)</f>
        <v>60595</v>
      </c>
      <c r="G9" s="151">
        <f t="shared" si="0"/>
        <v>53000</v>
      </c>
      <c r="H9" s="151">
        <f t="shared" si="0"/>
        <v>19896</v>
      </c>
      <c r="I9" s="151">
        <f t="shared" si="0"/>
        <v>60000</v>
      </c>
      <c r="J9" s="151">
        <f t="shared" si="0"/>
        <v>0</v>
      </c>
      <c r="K9" s="151"/>
      <c r="L9" s="151">
        <f t="shared" si="0"/>
        <v>50000</v>
      </c>
      <c r="M9" s="151">
        <f t="shared" si="0"/>
        <v>240256</v>
      </c>
      <c r="N9" s="151">
        <f t="shared" si="0"/>
        <v>0</v>
      </c>
    </row>
    <row r="10" spans="1:14" ht="20.25" customHeight="1">
      <c r="A10" s="73">
        <v>2100</v>
      </c>
      <c r="B10" s="74" t="s">
        <v>364</v>
      </c>
      <c r="C10" s="625"/>
      <c r="D10" s="625">
        <v>1196</v>
      </c>
      <c r="E10" s="625"/>
      <c r="F10" s="117"/>
      <c r="G10" s="146"/>
      <c r="H10" s="117"/>
      <c r="I10" s="85"/>
      <c r="J10" s="152"/>
      <c r="K10" s="152"/>
      <c r="L10" s="145"/>
      <c r="M10" s="145"/>
      <c r="N10" s="117"/>
    </row>
    <row r="11" spans="1:14" ht="15">
      <c r="A11" s="73">
        <v>2200</v>
      </c>
      <c r="B11" s="74" t="s">
        <v>15</v>
      </c>
      <c r="C11" s="625"/>
      <c r="D11" s="624">
        <f>45048.3+9557</f>
        <v>54605.3</v>
      </c>
      <c r="E11" s="624"/>
      <c r="F11" s="117">
        <f>55000-5000</f>
        <v>50000</v>
      </c>
      <c r="G11" s="146">
        <v>6700</v>
      </c>
      <c r="H11" s="117">
        <f>18240-4980</f>
        <v>13260</v>
      </c>
      <c r="I11" s="85">
        <v>60000</v>
      </c>
      <c r="J11" s="152"/>
      <c r="K11" s="152"/>
      <c r="L11" s="145"/>
      <c r="M11" s="145"/>
      <c r="N11" s="117"/>
    </row>
    <row r="12" spans="1:14" s="12" customFormat="1" ht="30">
      <c r="A12" s="73">
        <v>2300</v>
      </c>
      <c r="B12" s="74" t="s">
        <v>16</v>
      </c>
      <c r="C12" s="625"/>
      <c r="D12" s="625">
        <f>8108+5000</f>
        <v>13108</v>
      </c>
      <c r="E12" s="625"/>
      <c r="F12" s="117"/>
      <c r="G12" s="146"/>
      <c r="H12" s="117">
        <f>2856+3780</f>
        <v>6636</v>
      </c>
      <c r="I12" s="85"/>
      <c r="J12" s="152"/>
      <c r="K12" s="152"/>
      <c r="L12" s="145">
        <v>50000</v>
      </c>
      <c r="M12" s="145">
        <v>240256</v>
      </c>
      <c r="N12" s="117"/>
    </row>
    <row r="13" spans="1:14" ht="15">
      <c r="A13" s="73">
        <v>2400</v>
      </c>
      <c r="B13" s="143" t="s">
        <v>62</v>
      </c>
      <c r="C13" s="625"/>
      <c r="D13" s="625"/>
      <c r="E13" s="625"/>
      <c r="F13" s="117"/>
      <c r="G13" s="146"/>
      <c r="H13" s="117"/>
      <c r="I13" s="85"/>
      <c r="J13" s="152"/>
      <c r="K13" s="152"/>
      <c r="L13" s="145"/>
      <c r="M13" s="145"/>
      <c r="N13" s="117"/>
    </row>
    <row r="14" spans="1:14" ht="15">
      <c r="A14" s="210">
        <v>2500</v>
      </c>
      <c r="B14" s="74" t="s">
        <v>342</v>
      </c>
      <c r="C14" s="151"/>
      <c r="D14" s="151"/>
      <c r="E14" s="151"/>
      <c r="F14" s="117">
        <v>10595</v>
      </c>
      <c r="G14" s="147">
        <v>46300</v>
      </c>
      <c r="H14" s="117"/>
      <c r="I14" s="94"/>
      <c r="J14" s="151"/>
      <c r="K14" s="151"/>
      <c r="L14" s="117"/>
      <c r="M14" s="117"/>
      <c r="N14" s="117"/>
    </row>
    <row r="15" spans="1:14" ht="30">
      <c r="A15" s="169">
        <v>3200</v>
      </c>
      <c r="B15" s="74" t="s">
        <v>18</v>
      </c>
      <c r="C15" s="151"/>
      <c r="D15" s="151">
        <v>1950</v>
      </c>
      <c r="E15" s="151">
        <f>20000+35505</f>
        <v>55505</v>
      </c>
      <c r="F15" s="117"/>
      <c r="G15" s="147"/>
      <c r="H15" s="117"/>
      <c r="I15" s="94"/>
      <c r="J15" s="152">
        <f>180000+35000</f>
        <v>215000</v>
      </c>
      <c r="K15" s="152">
        <v>70040</v>
      </c>
      <c r="L15" s="117"/>
      <c r="M15" s="117"/>
      <c r="N15" s="117"/>
    </row>
    <row r="16" spans="1:14" ht="15">
      <c r="A16" s="73">
        <v>4200</v>
      </c>
      <c r="B16" s="74" t="s">
        <v>19</v>
      </c>
      <c r="C16" s="151"/>
      <c r="D16" s="151"/>
      <c r="E16" s="151"/>
      <c r="F16" s="117"/>
      <c r="G16" s="146"/>
      <c r="H16" s="117"/>
      <c r="I16" s="85"/>
      <c r="J16" s="152"/>
      <c r="K16" s="152"/>
      <c r="L16" s="145"/>
      <c r="M16" s="145"/>
      <c r="N16" s="117"/>
    </row>
    <row r="17" spans="1:14" ht="15">
      <c r="A17" s="73">
        <v>4300</v>
      </c>
      <c r="B17" s="74" t="s">
        <v>20</v>
      </c>
      <c r="C17" s="151"/>
      <c r="D17" s="151"/>
      <c r="E17" s="151"/>
      <c r="F17" s="117"/>
      <c r="G17" s="146"/>
      <c r="H17" s="117"/>
      <c r="I17" s="85"/>
      <c r="J17" s="152"/>
      <c r="K17" s="152"/>
      <c r="L17" s="145"/>
      <c r="M17" s="145"/>
      <c r="N17" s="117"/>
    </row>
    <row r="18" spans="1:14" ht="15">
      <c r="A18" s="73">
        <v>5100</v>
      </c>
      <c r="B18" s="74" t="s">
        <v>22</v>
      </c>
      <c r="C18" s="151"/>
      <c r="D18" s="151">
        <v>11801</v>
      </c>
      <c r="E18" s="151"/>
      <c r="F18" s="117"/>
      <c r="G18" s="146"/>
      <c r="H18" s="117"/>
      <c r="I18" s="85"/>
      <c r="J18" s="152"/>
      <c r="K18" s="152"/>
      <c r="L18" s="145"/>
      <c r="M18" s="145"/>
      <c r="N18" s="117"/>
    </row>
    <row r="19" spans="1:14" ht="15">
      <c r="A19" s="73">
        <v>5200</v>
      </c>
      <c r="B19" s="74" t="s">
        <v>23</v>
      </c>
      <c r="C19" s="151"/>
      <c r="D19" s="151">
        <f>50108-14299</f>
        <v>35809</v>
      </c>
      <c r="E19" s="151"/>
      <c r="F19" s="117"/>
      <c r="G19" s="146"/>
      <c r="H19" s="117">
        <v>1200</v>
      </c>
      <c r="I19" s="85"/>
      <c r="J19" s="152"/>
      <c r="K19" s="152"/>
      <c r="L19" s="145"/>
      <c r="M19" s="145"/>
      <c r="N19" s="117"/>
    </row>
    <row r="20" spans="1:14" ht="15">
      <c r="A20" s="169">
        <v>6200</v>
      </c>
      <c r="B20" s="74" t="s">
        <v>24</v>
      </c>
      <c r="C20" s="151"/>
      <c r="D20" s="151"/>
      <c r="E20" s="151"/>
      <c r="F20" s="151"/>
      <c r="G20" s="151"/>
      <c r="H20" s="151"/>
      <c r="I20" s="94"/>
      <c r="J20" s="151"/>
      <c r="K20" s="151"/>
      <c r="L20" s="151"/>
      <c r="M20" s="151"/>
      <c r="N20" s="152">
        <v>105000</v>
      </c>
    </row>
    <row r="21" spans="1:14" ht="15.75" thickBot="1">
      <c r="A21" s="629">
        <v>7200</v>
      </c>
      <c r="B21" s="632" t="s">
        <v>25</v>
      </c>
      <c r="C21" s="219">
        <v>150000</v>
      </c>
      <c r="D21" s="219"/>
      <c r="E21" s="219"/>
      <c r="F21" s="220"/>
      <c r="G21" s="627"/>
      <c r="H21" s="220"/>
      <c r="I21" s="626"/>
      <c r="J21" s="219"/>
      <c r="K21" s="219"/>
      <c r="L21" s="220"/>
      <c r="M21" s="220"/>
      <c r="N21" s="220"/>
    </row>
    <row r="22" spans="1:14" ht="15.75" thickBot="1">
      <c r="A22" s="64"/>
      <c r="B22" s="192" t="s">
        <v>26</v>
      </c>
      <c r="C22" s="630">
        <f aca="true" t="shared" si="1" ref="C22:N22">SUM(C7+C8+C9+C15+C16+C17+C18+C19+C20+C21)</f>
        <v>150000</v>
      </c>
      <c r="D22" s="630">
        <f t="shared" si="1"/>
        <v>166452.06551</v>
      </c>
      <c r="E22" s="630">
        <f t="shared" si="1"/>
        <v>55505</v>
      </c>
      <c r="F22" s="630">
        <f t="shared" si="1"/>
        <v>60595</v>
      </c>
      <c r="G22" s="630">
        <f t="shared" si="1"/>
        <v>53000</v>
      </c>
      <c r="H22" s="630">
        <f t="shared" si="1"/>
        <v>21096</v>
      </c>
      <c r="I22" s="630">
        <f t="shared" si="1"/>
        <v>60000</v>
      </c>
      <c r="J22" s="630">
        <f t="shared" si="1"/>
        <v>215000</v>
      </c>
      <c r="K22" s="630">
        <f t="shared" si="1"/>
        <v>70040</v>
      </c>
      <c r="L22" s="630">
        <f t="shared" si="1"/>
        <v>50000</v>
      </c>
      <c r="M22" s="630">
        <f t="shared" si="1"/>
        <v>240256</v>
      </c>
      <c r="N22" s="631">
        <f t="shared" si="1"/>
        <v>105000</v>
      </c>
    </row>
    <row r="23" spans="2:14" ht="15">
      <c r="B23" s="628"/>
      <c r="G23" s="10"/>
      <c r="H23" s="10"/>
      <c r="I23" s="10"/>
      <c r="J23" s="10"/>
      <c r="K23" s="10"/>
      <c r="L23" s="10"/>
      <c r="M23" s="10"/>
      <c r="N23" s="10"/>
    </row>
    <row r="24" spans="2:13" ht="15">
      <c r="B24" s="8" t="s">
        <v>157</v>
      </c>
      <c r="C24" s="224"/>
      <c r="D24" s="224"/>
      <c r="E24" s="224"/>
      <c r="F24" s="1" t="s">
        <v>43</v>
      </c>
      <c r="G24" s="612"/>
      <c r="H24" s="612"/>
      <c r="I24" s="612"/>
      <c r="J24" s="612"/>
      <c r="K24" s="842"/>
      <c r="L24" s="612"/>
      <c r="M24" s="842"/>
    </row>
    <row r="26" spans="3:14" ht="15">
      <c r="C26" s="639"/>
      <c r="D26" s="639"/>
      <c r="E26" s="639"/>
      <c r="F26" s="640"/>
      <c r="G26" s="639"/>
      <c r="H26" s="639"/>
      <c r="I26" s="640"/>
      <c r="J26" s="640"/>
      <c r="K26" s="640"/>
      <c r="L26" s="640"/>
      <c r="M26" s="640"/>
      <c r="N26" s="63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K17" sqref="K17"/>
    </sheetView>
  </sheetViews>
  <sheetFormatPr defaultColWidth="9.140625" defaultRowHeight="12.75"/>
  <cols>
    <col min="1" max="1" width="6.140625" style="1" customWidth="1"/>
    <col min="2" max="2" width="57.7109375" style="1" customWidth="1"/>
    <col min="3" max="3" width="9.28125" style="1" customWidth="1"/>
    <col min="4" max="4" width="10.28125" style="1" customWidth="1"/>
    <col min="5" max="5" width="9.7109375" style="1" customWidth="1"/>
    <col min="6" max="6" width="10.7109375" style="1" customWidth="1"/>
    <col min="7" max="7" width="10.140625" style="1" customWidth="1"/>
    <col min="8" max="8" width="10.57421875" style="1" customWidth="1"/>
    <col min="9" max="16384" width="9.140625" style="1" customWidth="1"/>
  </cols>
  <sheetData>
    <row r="1" ht="15">
      <c r="B1" s="2" t="s">
        <v>0</v>
      </c>
    </row>
    <row r="3" spans="1:8" ht="15">
      <c r="A3" s="3" t="s">
        <v>121</v>
      </c>
      <c r="F3" s="5"/>
      <c r="G3" s="5"/>
      <c r="H3" s="5"/>
    </row>
    <row r="4" spans="2:8" ht="15">
      <c r="B4" s="3" t="s">
        <v>380</v>
      </c>
      <c r="F4" s="5"/>
      <c r="G4" s="5"/>
      <c r="H4" s="5"/>
    </row>
    <row r="5" spans="1:8" ht="15">
      <c r="A5" s="3"/>
      <c r="B5" s="111" t="s">
        <v>123</v>
      </c>
      <c r="D5" s="112" t="s">
        <v>86</v>
      </c>
      <c r="E5" s="112" t="s">
        <v>87</v>
      </c>
      <c r="F5" s="112" t="s">
        <v>88</v>
      </c>
      <c r="G5" s="112" t="s">
        <v>57</v>
      </c>
      <c r="H5" s="112" t="s">
        <v>89</v>
      </c>
    </row>
    <row r="6" spans="2:8" ht="44.25" customHeight="1" thickBot="1">
      <c r="B6" s="3"/>
      <c r="C6" s="113"/>
      <c r="D6" s="114" t="s">
        <v>27</v>
      </c>
      <c r="E6" s="8" t="s">
        <v>111</v>
      </c>
      <c r="F6" s="8" t="s">
        <v>162</v>
      </c>
      <c r="G6" s="8" t="s">
        <v>78</v>
      </c>
      <c r="H6" s="8" t="s">
        <v>28</v>
      </c>
    </row>
    <row r="7" spans="1:8" ht="33.75" customHeight="1" thickBot="1">
      <c r="A7" s="64" t="s">
        <v>7</v>
      </c>
      <c r="B7" s="65" t="s">
        <v>10</v>
      </c>
      <c r="C7" s="66" t="s">
        <v>36</v>
      </c>
      <c r="D7" s="67" t="s">
        <v>379</v>
      </c>
      <c r="E7" s="67" t="s">
        <v>379</v>
      </c>
      <c r="F7" s="67" t="s">
        <v>379</v>
      </c>
      <c r="G7" s="67" t="s">
        <v>379</v>
      </c>
      <c r="H7" s="67" t="s">
        <v>379</v>
      </c>
    </row>
    <row r="8" spans="1:8" ht="15">
      <c r="A8" s="68">
        <v>1100</v>
      </c>
      <c r="B8" s="69" t="s">
        <v>11</v>
      </c>
      <c r="C8" s="115">
        <f>SUM(D8:H8)</f>
        <v>767248</v>
      </c>
      <c r="D8" s="71">
        <f>287837-4971</f>
        <v>282866</v>
      </c>
      <c r="E8" s="72">
        <f>115509-333</f>
        <v>115176</v>
      </c>
      <c r="F8" s="72">
        <v>172867</v>
      </c>
      <c r="G8" s="72">
        <v>95539</v>
      </c>
      <c r="H8" s="116">
        <v>100800</v>
      </c>
    </row>
    <row r="9" spans="1:8" ht="29.25" customHeight="1">
      <c r="A9" s="73">
        <v>1200</v>
      </c>
      <c r="B9" s="74" t="s">
        <v>12</v>
      </c>
      <c r="C9" s="117">
        <f>SUM(D9:H9)</f>
        <v>360817</v>
      </c>
      <c r="D9" s="76">
        <f>124908+3416</f>
        <v>128324</v>
      </c>
      <c r="E9" s="77">
        <f>58090+1033</f>
        <v>59123</v>
      </c>
      <c r="F9" s="77">
        <v>80812</v>
      </c>
      <c r="G9" s="77">
        <v>52611</v>
      </c>
      <c r="H9" s="78">
        <f>39834+113</f>
        <v>39947</v>
      </c>
    </row>
    <row r="10" spans="1:8" ht="15">
      <c r="A10" s="73">
        <v>2000</v>
      </c>
      <c r="B10" s="80" t="s">
        <v>13</v>
      </c>
      <c r="C10" s="117">
        <f aca="true" t="shared" si="0" ref="C10:H10">SUM(C11:C15)</f>
        <v>1014030</v>
      </c>
      <c r="D10" s="85">
        <f t="shared" si="0"/>
        <v>291072</v>
      </c>
      <c r="E10" s="86">
        <f t="shared" si="0"/>
        <v>242890</v>
      </c>
      <c r="F10" s="86">
        <f t="shared" si="0"/>
        <v>155802</v>
      </c>
      <c r="G10" s="86">
        <f t="shared" si="0"/>
        <v>242492</v>
      </c>
      <c r="H10" s="96">
        <f t="shared" si="0"/>
        <v>81774</v>
      </c>
    </row>
    <row r="11" spans="1:8" ht="15">
      <c r="A11" s="73">
        <v>2100</v>
      </c>
      <c r="B11" s="80" t="s">
        <v>14</v>
      </c>
      <c r="C11" s="117">
        <f>SUM(D11:H11)</f>
        <v>227</v>
      </c>
      <c r="D11" s="85">
        <f>400-400</f>
        <v>0</v>
      </c>
      <c r="E11" s="86">
        <v>200</v>
      </c>
      <c r="F11" s="86">
        <v>27</v>
      </c>
      <c r="G11" s="86"/>
      <c r="H11" s="96"/>
    </row>
    <row r="12" spans="1:8" ht="15">
      <c r="A12" s="73">
        <v>2200</v>
      </c>
      <c r="B12" s="80" t="s">
        <v>15</v>
      </c>
      <c r="C12" s="117">
        <f>SUM(D12:H12)</f>
        <v>684157</v>
      </c>
      <c r="D12" s="85">
        <f>182691-9949</f>
        <v>172742</v>
      </c>
      <c r="E12" s="86">
        <f>198262+9050</f>
        <v>207312</v>
      </c>
      <c r="F12" s="86">
        <f>105357-4500</f>
        <v>100857</v>
      </c>
      <c r="G12" s="86">
        <f>169016-7560</f>
        <v>161456</v>
      </c>
      <c r="H12" s="87">
        <f>40150+1640</f>
        <v>41790</v>
      </c>
    </row>
    <row r="13" spans="1:8" ht="30">
      <c r="A13" s="73">
        <v>2300</v>
      </c>
      <c r="B13" s="74" t="s">
        <v>16</v>
      </c>
      <c r="C13" s="117">
        <f>SUM(D13:H13)</f>
        <v>328276</v>
      </c>
      <c r="D13" s="85">
        <f>204596+2333-89199</f>
        <v>117730</v>
      </c>
      <c r="E13" s="86">
        <f>36578-1500</f>
        <v>35078</v>
      </c>
      <c r="F13" s="86">
        <f>88771+6243-40116</f>
        <v>54898</v>
      </c>
      <c r="G13" s="86">
        <f>159077+3500-81841</f>
        <v>80736</v>
      </c>
      <c r="H13" s="87">
        <f>39669+165</f>
        <v>39834</v>
      </c>
    </row>
    <row r="14" spans="1:8" ht="15">
      <c r="A14" s="73">
        <v>2400</v>
      </c>
      <c r="B14" s="84" t="s">
        <v>63</v>
      </c>
      <c r="C14" s="117">
        <f aca="true" t="shared" si="1" ref="C14:C25">SUM(D14:H14)</f>
        <v>1370</v>
      </c>
      <c r="D14" s="85">
        <v>600</v>
      </c>
      <c r="E14" s="86">
        <v>300</v>
      </c>
      <c r="F14" s="86">
        <v>20</v>
      </c>
      <c r="G14" s="86">
        <v>300</v>
      </c>
      <c r="H14" s="96">
        <v>150</v>
      </c>
    </row>
    <row r="15" spans="1:8" ht="15">
      <c r="A15" s="73">
        <v>2500</v>
      </c>
      <c r="B15" s="80" t="s">
        <v>17</v>
      </c>
      <c r="C15" s="117">
        <f t="shared" si="1"/>
        <v>0</v>
      </c>
      <c r="D15" s="85"/>
      <c r="E15" s="86"/>
      <c r="F15" s="86"/>
      <c r="G15" s="86"/>
      <c r="H15" s="96"/>
    </row>
    <row r="16" spans="1:8" s="118" customFormat="1" ht="15">
      <c r="A16" s="73">
        <v>3200</v>
      </c>
      <c r="B16" s="4" t="s">
        <v>103</v>
      </c>
      <c r="C16" s="117">
        <f t="shared" si="1"/>
        <v>0</v>
      </c>
      <c r="D16" s="238"/>
      <c r="E16" s="236"/>
      <c r="F16" s="236"/>
      <c r="G16" s="236"/>
      <c r="H16" s="239"/>
    </row>
    <row r="17" spans="1:8" s="3" customFormat="1" ht="15">
      <c r="A17" s="73">
        <v>4200</v>
      </c>
      <c r="B17" s="80" t="s">
        <v>19</v>
      </c>
      <c r="C17" s="117">
        <f t="shared" si="1"/>
        <v>0</v>
      </c>
      <c r="D17" s="85"/>
      <c r="E17" s="86"/>
      <c r="F17" s="86"/>
      <c r="G17" s="86"/>
      <c r="H17" s="96"/>
    </row>
    <row r="18" spans="1:8" ht="15">
      <c r="A18" s="73">
        <v>4300</v>
      </c>
      <c r="B18" s="80" t="s">
        <v>20</v>
      </c>
      <c r="C18" s="117">
        <f t="shared" si="1"/>
        <v>0</v>
      </c>
      <c r="D18" s="85"/>
      <c r="E18" s="86"/>
      <c r="F18" s="86"/>
      <c r="G18" s="86"/>
      <c r="H18" s="96"/>
    </row>
    <row r="19" spans="1:8" ht="15">
      <c r="A19" s="73">
        <v>5100</v>
      </c>
      <c r="B19" s="80" t="s">
        <v>22</v>
      </c>
      <c r="C19" s="117">
        <f t="shared" si="1"/>
        <v>1488</v>
      </c>
      <c r="D19" s="85">
        <f>560-222</f>
        <v>338</v>
      </c>
      <c r="E19" s="86">
        <v>950</v>
      </c>
      <c r="F19" s="86"/>
      <c r="G19" s="86">
        <v>200</v>
      </c>
      <c r="H19" s="87"/>
    </row>
    <row r="20" spans="1:8" ht="15">
      <c r="A20" s="73">
        <v>5200</v>
      </c>
      <c r="B20" s="119" t="s">
        <v>23</v>
      </c>
      <c r="C20" s="117">
        <f t="shared" si="1"/>
        <v>157866</v>
      </c>
      <c r="D20" s="85">
        <f>21123+9658</f>
        <v>30781</v>
      </c>
      <c r="E20" s="86">
        <f>66050+155</f>
        <v>66205</v>
      </c>
      <c r="F20" s="86">
        <v>39858</v>
      </c>
      <c r="G20" s="86">
        <f>14346+3860</f>
        <v>18206</v>
      </c>
      <c r="H20" s="87">
        <f>3600-784</f>
        <v>2816</v>
      </c>
    </row>
    <row r="21" spans="1:8" s="3" customFormat="1" ht="15">
      <c r="A21" s="73">
        <v>6000</v>
      </c>
      <c r="B21" s="74" t="s">
        <v>60</v>
      </c>
      <c r="C21" s="117">
        <f>SUM(C22:C24)</f>
        <v>4975</v>
      </c>
      <c r="D21" s="94">
        <f>SUM(D22:D24)</f>
        <v>2050</v>
      </c>
      <c r="E21" s="94">
        <f>SUM(E22:E24)</f>
        <v>1350</v>
      </c>
      <c r="F21" s="94">
        <f>SUM(F22:F24)</f>
        <v>800</v>
      </c>
      <c r="G21" s="94">
        <f>SUM(G22:G24)</f>
        <v>250</v>
      </c>
      <c r="H21" s="94">
        <f>SUM(H22:H24)</f>
        <v>525</v>
      </c>
    </row>
    <row r="22" spans="1:8" s="3" customFormat="1" ht="15">
      <c r="A22" s="73">
        <v>6200</v>
      </c>
      <c r="B22" s="80" t="s">
        <v>24</v>
      </c>
      <c r="C22" s="117">
        <f t="shared" si="1"/>
        <v>0</v>
      </c>
      <c r="D22" s="90"/>
      <c r="E22" s="91"/>
      <c r="F22" s="91"/>
      <c r="G22" s="91"/>
      <c r="H22" s="92"/>
    </row>
    <row r="23" spans="1:8" ht="15">
      <c r="A23" s="73">
        <v>6300</v>
      </c>
      <c r="B23" s="74" t="s">
        <v>61</v>
      </c>
      <c r="C23" s="117">
        <f t="shared" si="1"/>
        <v>0</v>
      </c>
      <c r="D23" s="90"/>
      <c r="E23" s="91"/>
      <c r="F23" s="91"/>
      <c r="G23" s="91"/>
      <c r="H23" s="92"/>
    </row>
    <row r="24" spans="1:8" ht="15">
      <c r="A24" s="97">
        <v>6400</v>
      </c>
      <c r="B24" s="861" t="s">
        <v>589</v>
      </c>
      <c r="C24" s="117">
        <f t="shared" si="1"/>
        <v>4975</v>
      </c>
      <c r="D24" s="100">
        <v>2050</v>
      </c>
      <c r="E24" s="101">
        <v>1350</v>
      </c>
      <c r="F24" s="101">
        <v>800</v>
      </c>
      <c r="G24" s="101">
        <v>250</v>
      </c>
      <c r="H24" s="103">
        <v>525</v>
      </c>
    </row>
    <row r="25" spans="1:8" ht="15.75" thickBot="1">
      <c r="A25" s="97">
        <v>7200</v>
      </c>
      <c r="B25" s="98" t="s">
        <v>25</v>
      </c>
      <c r="C25" s="120">
        <f t="shared" si="1"/>
        <v>0</v>
      </c>
      <c r="D25" s="100"/>
      <c r="E25" s="101"/>
      <c r="F25" s="101"/>
      <c r="G25" s="121"/>
      <c r="H25" s="122"/>
    </row>
    <row r="26" spans="1:8" ht="15.75" thickBot="1">
      <c r="A26" s="64"/>
      <c r="B26" s="104" t="s">
        <v>26</v>
      </c>
      <c r="C26" s="123">
        <f aca="true" t="shared" si="2" ref="C26:H26">C8+C9+C10+C16+C17+C18+C19+C20+C21+C25</f>
        <v>2306424</v>
      </c>
      <c r="D26" s="106">
        <f>D8+D9+D10+D16+D17+D18+D19+D20+D21+D25</f>
        <v>735431</v>
      </c>
      <c r="E26" s="123">
        <f t="shared" si="2"/>
        <v>485694</v>
      </c>
      <c r="F26" s="105">
        <f t="shared" si="2"/>
        <v>450139</v>
      </c>
      <c r="G26" s="105">
        <f t="shared" si="2"/>
        <v>409298</v>
      </c>
      <c r="H26" s="105">
        <f t="shared" si="2"/>
        <v>225862</v>
      </c>
    </row>
    <row r="27" spans="2:8" ht="15">
      <c r="B27" s="107" t="s">
        <v>50</v>
      </c>
      <c r="C27" s="110">
        <f>SUM(D27:H27)</f>
        <v>4869311</v>
      </c>
      <c r="D27" s="108">
        <f>1251959+670725</f>
        <v>1922684</v>
      </c>
      <c r="E27" s="79">
        <f>570675+301281</f>
        <v>871956</v>
      </c>
      <c r="F27" s="79">
        <f>549174+296709</f>
        <v>845883</v>
      </c>
      <c r="G27" s="108">
        <f>614504+327258</f>
        <v>941762</v>
      </c>
      <c r="H27" s="108">
        <f>181485+105541</f>
        <v>287026</v>
      </c>
    </row>
    <row r="28" spans="2:8" ht="15">
      <c r="B28" s="107" t="s">
        <v>65</v>
      </c>
      <c r="C28" s="110">
        <f>SUM(D28:H28)</f>
        <v>218438</v>
      </c>
      <c r="D28" s="652">
        <f>34259+15662</f>
        <v>49921</v>
      </c>
      <c r="E28" s="653">
        <f>27687+14532</f>
        <v>42219</v>
      </c>
      <c r="F28" s="652">
        <f>59278+19052</f>
        <v>78330</v>
      </c>
      <c r="G28" s="653">
        <f>21254+12150</f>
        <v>33404</v>
      </c>
      <c r="H28" s="108">
        <f>8428+6136</f>
        <v>14564</v>
      </c>
    </row>
    <row r="29" spans="2:8" ht="15">
      <c r="B29" s="107" t="s">
        <v>257</v>
      </c>
      <c r="C29" s="110">
        <f>SUM(D29:H29)</f>
        <v>0</v>
      </c>
      <c r="D29" s="108"/>
      <c r="E29" s="79"/>
      <c r="F29" s="108"/>
      <c r="G29" s="79"/>
      <c r="H29" s="108"/>
    </row>
    <row r="30" spans="2:8" ht="15">
      <c r="B30" s="107" t="s">
        <v>267</v>
      </c>
      <c r="C30" s="110">
        <f>SUM(D30:H30)</f>
        <v>0</v>
      </c>
      <c r="D30" s="108"/>
      <c r="E30" s="79"/>
      <c r="F30" s="108"/>
      <c r="G30" s="79"/>
      <c r="H30" s="108"/>
    </row>
    <row r="31" spans="2:8" ht="15">
      <c r="B31" s="107" t="s">
        <v>53</v>
      </c>
      <c r="C31" s="110">
        <f>SUM(C26:C29)</f>
        <v>7394173</v>
      </c>
      <c r="D31" s="110">
        <f>SUM(D26:D30)</f>
        <v>2708036</v>
      </c>
      <c r="E31" s="110">
        <f>SUM(E26:E30)</f>
        <v>1399869</v>
      </c>
      <c r="F31" s="110">
        <f>SUM(F26:F30)</f>
        <v>1374352</v>
      </c>
      <c r="G31" s="110">
        <f>SUM(G26:G30)</f>
        <v>1384464</v>
      </c>
      <c r="H31" s="110">
        <f>SUM(H26:H30)</f>
        <v>527452</v>
      </c>
    </row>
    <row r="32" spans="2:8" ht="15">
      <c r="B32" s="4"/>
      <c r="C32" s="4"/>
      <c r="D32" s="124"/>
      <c r="E32" s="124"/>
      <c r="F32" s="124"/>
      <c r="G32" s="124"/>
      <c r="H32" s="124"/>
    </row>
    <row r="33" spans="2:8" ht="15">
      <c r="B33" s="4"/>
      <c r="C33" s="4"/>
      <c r="D33" s="124"/>
      <c r="E33" s="124"/>
      <c r="F33" s="124"/>
      <c r="G33" s="124"/>
      <c r="H33" s="124"/>
    </row>
    <row r="34" spans="2:5" ht="15">
      <c r="B34" s="8" t="s">
        <v>157</v>
      </c>
      <c r="C34" s="8"/>
      <c r="E34" s="1" t="s">
        <v>43</v>
      </c>
    </row>
    <row r="36" spans="3:8" ht="15">
      <c r="C36" s="639"/>
      <c r="D36" s="639"/>
      <c r="E36" s="639"/>
      <c r="F36" s="639"/>
      <c r="G36" s="639"/>
      <c r="H36" s="639"/>
    </row>
    <row r="37" spans="3:8" ht="15">
      <c r="C37" s="639"/>
      <c r="D37" s="639"/>
      <c r="E37" s="639"/>
      <c r="F37" s="639"/>
      <c r="G37" s="639"/>
      <c r="H37" s="639"/>
    </row>
    <row r="38" spans="3:8" ht="15">
      <c r="C38" s="639"/>
      <c r="D38" s="639"/>
      <c r="E38" s="639"/>
      <c r="F38" s="639"/>
      <c r="G38" s="639"/>
      <c r="H38" s="639"/>
    </row>
    <row r="39" spans="3:8" ht="15">
      <c r="C39" s="639"/>
      <c r="D39" s="639"/>
      <c r="E39" s="639"/>
      <c r="F39" s="639"/>
      <c r="G39" s="639"/>
      <c r="H39" s="639"/>
    </row>
    <row r="40" spans="3:8" ht="15">
      <c r="C40" s="639"/>
      <c r="D40" s="639"/>
      <c r="E40" s="639"/>
      <c r="F40" s="639"/>
      <c r="G40" s="639"/>
      <c r="H40" s="639"/>
    </row>
    <row r="41" spans="3:8" ht="15">
      <c r="C41" s="639"/>
      <c r="D41" s="639"/>
      <c r="E41" s="639"/>
      <c r="F41" s="639"/>
      <c r="G41" s="639"/>
      <c r="H41" s="639"/>
    </row>
  </sheetData>
  <sheetProtection/>
  <printOptions/>
  <pageMargins left="0.35433070866141736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31" sqref="I31"/>
    </sheetView>
  </sheetViews>
  <sheetFormatPr defaultColWidth="9.28125" defaultRowHeight="12.75"/>
  <cols>
    <col min="1" max="1" width="6.00390625" style="1" hidden="1" customWidth="1"/>
    <col min="2" max="2" width="7.7109375" style="1" customWidth="1"/>
    <col min="3" max="3" width="57.7109375" style="1" customWidth="1"/>
    <col min="4" max="4" width="9.28125" style="1" customWidth="1"/>
    <col min="5" max="6" width="8.7109375" style="1" customWidth="1"/>
    <col min="7" max="7" width="9.57421875" style="6" customWidth="1"/>
    <col min="8" max="9" width="9.28125" style="1" customWidth="1"/>
    <col min="10" max="16384" width="9.28125" style="1" customWidth="1"/>
  </cols>
  <sheetData>
    <row r="1" ht="15">
      <c r="C1" s="2" t="s">
        <v>0</v>
      </c>
    </row>
    <row r="3" spans="1:2" ht="15">
      <c r="A3" s="3"/>
      <c r="B3" s="3" t="s">
        <v>122</v>
      </c>
    </row>
    <row r="4" ht="15">
      <c r="C4" s="3" t="s">
        <v>380</v>
      </c>
    </row>
    <row r="5" spans="1:7" ht="15">
      <c r="A5" s="3"/>
      <c r="B5" s="126" t="s">
        <v>123</v>
      </c>
      <c r="C5" s="127"/>
      <c r="D5" s="112" t="s">
        <v>99</v>
      </c>
      <c r="E5" s="128" t="s">
        <v>100</v>
      </c>
      <c r="F5" s="128" t="s">
        <v>587</v>
      </c>
      <c r="G5" s="112" t="s">
        <v>233</v>
      </c>
    </row>
    <row r="6" spans="3:7" s="8" customFormat="1" ht="60.75" thickBot="1">
      <c r="C6" s="129"/>
      <c r="D6" s="130" t="s">
        <v>33</v>
      </c>
      <c r="E6" s="130" t="s">
        <v>32</v>
      </c>
      <c r="F6" s="130" t="s">
        <v>588</v>
      </c>
      <c r="G6" s="130" t="s">
        <v>513</v>
      </c>
    </row>
    <row r="7" spans="1:7" ht="39.75" customHeight="1" thickBot="1">
      <c r="A7" s="132"/>
      <c r="B7" s="125" t="s">
        <v>7</v>
      </c>
      <c r="C7" s="133" t="s">
        <v>10</v>
      </c>
      <c r="D7" s="134" t="s">
        <v>379</v>
      </c>
      <c r="E7" s="853" t="s">
        <v>379</v>
      </c>
      <c r="F7" s="66" t="s">
        <v>379</v>
      </c>
      <c r="G7" s="67" t="s">
        <v>379</v>
      </c>
    </row>
    <row r="8" spans="1:7" ht="15">
      <c r="A8" s="135"/>
      <c r="B8" s="136">
        <v>1100</v>
      </c>
      <c r="C8" s="137" t="s">
        <v>11</v>
      </c>
      <c r="D8" s="138">
        <f>220120.5-90045</f>
        <v>130075.5</v>
      </c>
      <c r="E8" s="854">
        <f>147029-57841</f>
        <v>89188</v>
      </c>
      <c r="F8" s="188">
        <v>155167</v>
      </c>
      <c r="G8" s="58">
        <f>171870-3200</f>
        <v>168670</v>
      </c>
    </row>
    <row r="9" spans="1:7" ht="26.25" customHeight="1">
      <c r="A9" s="141"/>
      <c r="B9" s="142">
        <v>1200</v>
      </c>
      <c r="C9" s="143" t="s">
        <v>12</v>
      </c>
      <c r="D9" s="83">
        <f>73083.77845-24572</f>
        <v>48511.77845</v>
      </c>
      <c r="E9" s="855">
        <f>47273.7861-9398</f>
        <v>37875.7861</v>
      </c>
      <c r="F9" s="75">
        <v>34745</v>
      </c>
      <c r="G9" s="211">
        <v>49890.6104</v>
      </c>
    </row>
    <row r="10" spans="1:7" ht="15">
      <c r="A10" s="141"/>
      <c r="B10" s="142">
        <v>2000</v>
      </c>
      <c r="C10" s="84" t="s">
        <v>13</v>
      </c>
      <c r="D10" s="83">
        <f>SUM(D11:D15)</f>
        <v>51244.2</v>
      </c>
      <c r="E10" s="146">
        <f>SUM(E11:E15)</f>
        <v>72286</v>
      </c>
      <c r="F10" s="117">
        <f>SUM(F11:F15)</f>
        <v>86399</v>
      </c>
      <c r="G10" s="151">
        <f>SUM(G11:G15)</f>
        <v>48507</v>
      </c>
    </row>
    <row r="11" spans="1:7" ht="15">
      <c r="A11" s="141"/>
      <c r="B11" s="142">
        <v>2100</v>
      </c>
      <c r="C11" s="84" t="s">
        <v>14</v>
      </c>
      <c r="D11" s="149">
        <f>2300-1077</f>
        <v>1223</v>
      </c>
      <c r="E11" s="146">
        <f>1362-1322</f>
        <v>40</v>
      </c>
      <c r="F11" s="117">
        <v>1249</v>
      </c>
      <c r="G11" s="152">
        <v>596</v>
      </c>
    </row>
    <row r="12" spans="1:8" ht="15">
      <c r="A12" s="141"/>
      <c r="B12" s="142">
        <v>2200</v>
      </c>
      <c r="C12" s="84" t="s">
        <v>15</v>
      </c>
      <c r="D12" s="83">
        <f>102444.2-81380</f>
        <v>21064.199999999997</v>
      </c>
      <c r="E12" s="146">
        <f>97421-38644</f>
        <v>58777</v>
      </c>
      <c r="F12" s="117">
        <v>57062</v>
      </c>
      <c r="G12" s="152">
        <f>43491-9960</f>
        <v>33531</v>
      </c>
      <c r="H12" s="6"/>
    </row>
    <row r="13" spans="1:8" ht="30">
      <c r="A13" s="141"/>
      <c r="B13" s="142">
        <v>2300</v>
      </c>
      <c r="C13" s="143" t="s">
        <v>16</v>
      </c>
      <c r="D13" s="145">
        <f>52529-23572</f>
        <v>28957</v>
      </c>
      <c r="E13" s="856">
        <f>28675-15206</f>
        <v>13469</v>
      </c>
      <c r="F13" s="145">
        <v>27588</v>
      </c>
      <c r="G13" s="152">
        <f>19790-5410</f>
        <v>14380</v>
      </c>
      <c r="H13" s="6"/>
    </row>
    <row r="14" spans="1:7" ht="15">
      <c r="A14" s="150"/>
      <c r="B14" s="73">
        <v>2400</v>
      </c>
      <c r="C14" s="84" t="s">
        <v>63</v>
      </c>
      <c r="D14" s="665">
        <f>500-500</f>
        <v>0</v>
      </c>
      <c r="E14" s="146"/>
      <c r="F14" s="117">
        <v>500</v>
      </c>
      <c r="G14" s="152"/>
    </row>
    <row r="15" spans="1:7" ht="15">
      <c r="A15" s="141"/>
      <c r="B15" s="142">
        <v>2500</v>
      </c>
      <c r="C15" s="84" t="s">
        <v>17</v>
      </c>
      <c r="D15" s="145"/>
      <c r="E15" s="146"/>
      <c r="F15" s="117"/>
      <c r="G15" s="152"/>
    </row>
    <row r="16" spans="1:7" ht="15">
      <c r="A16" s="141"/>
      <c r="B16" s="142">
        <v>4200</v>
      </c>
      <c r="C16" s="84" t="s">
        <v>19</v>
      </c>
      <c r="D16" s="145"/>
      <c r="E16" s="146"/>
      <c r="F16" s="117"/>
      <c r="G16" s="152"/>
    </row>
    <row r="17" spans="1:7" ht="15">
      <c r="A17" s="141"/>
      <c r="B17" s="142">
        <v>4300</v>
      </c>
      <c r="C17" s="84" t="s">
        <v>20</v>
      </c>
      <c r="D17" s="145"/>
      <c r="E17" s="146"/>
      <c r="F17" s="117"/>
      <c r="G17" s="152"/>
    </row>
    <row r="18" spans="1:7" ht="15">
      <c r="A18" s="141"/>
      <c r="B18" s="142">
        <v>5100</v>
      </c>
      <c r="C18" s="84" t="s">
        <v>22</v>
      </c>
      <c r="D18" s="145">
        <f>350-350</f>
        <v>0</v>
      </c>
      <c r="E18" s="146"/>
      <c r="F18" s="117"/>
      <c r="G18" s="152">
        <v>2500</v>
      </c>
    </row>
    <row r="19" spans="1:7" ht="15">
      <c r="A19" s="141"/>
      <c r="B19" s="142">
        <v>5200</v>
      </c>
      <c r="C19" s="84" t="s">
        <v>23</v>
      </c>
      <c r="D19" s="665">
        <f>7580+49447</f>
        <v>57027</v>
      </c>
      <c r="E19" s="856">
        <f>73928-23893</f>
        <v>50035</v>
      </c>
      <c r="F19" s="145">
        <v>47246</v>
      </c>
      <c r="G19" s="152">
        <f>500+800</f>
        <v>1300</v>
      </c>
    </row>
    <row r="20" spans="1:7" ht="15">
      <c r="A20" s="141"/>
      <c r="B20" s="142">
        <v>6000</v>
      </c>
      <c r="C20" s="74" t="s">
        <v>60</v>
      </c>
      <c r="D20" s="149">
        <f>SUM(D21:D23)</f>
        <v>0</v>
      </c>
      <c r="E20" s="153">
        <v>0</v>
      </c>
      <c r="F20" s="149"/>
      <c r="G20" s="148">
        <v>0</v>
      </c>
    </row>
    <row r="21" spans="1:7" s="3" customFormat="1" ht="15">
      <c r="A21" s="141"/>
      <c r="B21" s="142">
        <v>6200</v>
      </c>
      <c r="C21" s="84" t="s">
        <v>24</v>
      </c>
      <c r="D21" s="149"/>
      <c r="E21" s="857"/>
      <c r="F21" s="220"/>
      <c r="G21" s="152"/>
    </row>
    <row r="22" spans="1:7" ht="15">
      <c r="A22" s="141"/>
      <c r="B22" s="142">
        <v>6300</v>
      </c>
      <c r="C22" s="74" t="s">
        <v>61</v>
      </c>
      <c r="D22" s="149"/>
      <c r="E22" s="153"/>
      <c r="F22" s="149"/>
      <c r="G22" s="858"/>
    </row>
    <row r="23" spans="1:7" ht="18" customHeight="1">
      <c r="A23" s="141"/>
      <c r="B23" s="142">
        <v>6400</v>
      </c>
      <c r="C23" s="93" t="s">
        <v>77</v>
      </c>
      <c r="D23" s="149"/>
      <c r="E23" s="153"/>
      <c r="F23" s="149"/>
      <c r="G23" s="152">
        <v>4500</v>
      </c>
    </row>
    <row r="24" spans="1:7" ht="15.75" thickBot="1">
      <c r="A24" s="141"/>
      <c r="B24" s="142">
        <v>7200</v>
      </c>
      <c r="C24" s="84" t="s">
        <v>25</v>
      </c>
      <c r="D24" s="155"/>
      <c r="E24" s="153"/>
      <c r="F24" s="860"/>
      <c r="G24" s="859"/>
    </row>
    <row r="25" spans="1:7" ht="16.5" thickBot="1">
      <c r="A25" s="156"/>
      <c r="B25" s="157"/>
      <c r="C25" s="158" t="s">
        <v>26</v>
      </c>
      <c r="D25" s="159">
        <f>SUM(D8+D9+D10+D16+D17+D18+D19+D20+D24)</f>
        <v>286858.47845</v>
      </c>
      <c r="E25" s="160">
        <f>SUM(E8+E9+E10+E16+E17+E18+E19+E20+E24)</f>
        <v>249384.7861</v>
      </c>
      <c r="F25" s="160">
        <f>SUM(F8+F9+F10+F16+F17+F18+F19+F20+F24)</f>
        <v>323557</v>
      </c>
      <c r="G25" s="161">
        <f>SUM(G8+G9+G10+G16+G17+G18+G19+G21+G23+G24)</f>
        <v>275367.6104</v>
      </c>
    </row>
    <row r="26" spans="1:7" ht="15">
      <c r="A26" s="4"/>
      <c r="B26" s="4"/>
      <c r="C26" s="107" t="s">
        <v>67</v>
      </c>
      <c r="D26" s="204">
        <f>402009-134000</f>
        <v>268009</v>
      </c>
      <c r="E26" s="204">
        <f>102999-39900</f>
        <v>63099</v>
      </c>
      <c r="F26" s="204">
        <f>134000+39900+8758</f>
        <v>182658</v>
      </c>
      <c r="G26" s="162"/>
    </row>
    <row r="27" spans="1:7" ht="15">
      <c r="A27" s="4"/>
      <c r="B27" s="4"/>
      <c r="C27" s="107" t="s">
        <v>65</v>
      </c>
      <c r="D27" s="79"/>
      <c r="E27" s="108"/>
      <c r="F27" s="108">
        <v>6136</v>
      </c>
      <c r="G27" s="162"/>
    </row>
    <row r="28" spans="1:7" ht="15">
      <c r="A28" s="4"/>
      <c r="B28" s="4"/>
      <c r="C28" s="107" t="s">
        <v>257</v>
      </c>
      <c r="D28" s="79">
        <f>794-794</f>
        <v>0</v>
      </c>
      <c r="E28" s="108"/>
      <c r="F28" s="108">
        <v>794</v>
      </c>
      <c r="G28" s="162"/>
    </row>
    <row r="29" spans="1:7" ht="15">
      <c r="A29" s="4"/>
      <c r="B29" s="4"/>
      <c r="C29" s="163" t="s">
        <v>53</v>
      </c>
      <c r="D29" s="110">
        <f>SUM(D25:D28)</f>
        <v>554867.47845</v>
      </c>
      <c r="E29" s="110">
        <f>SUM(E25:E28)</f>
        <v>312483.7861</v>
      </c>
      <c r="F29" s="110">
        <f>SUM(F25:F28)</f>
        <v>513145</v>
      </c>
      <c r="G29" s="110">
        <f>SUM(G25:G27)</f>
        <v>275367.6104</v>
      </c>
    </row>
    <row r="30" spans="1:6" ht="15">
      <c r="A30" s="4"/>
      <c r="B30" s="4"/>
      <c r="C30" s="163"/>
      <c r="D30" s="7"/>
      <c r="E30" s="7"/>
      <c r="F30" s="7"/>
    </row>
    <row r="31" spans="3:4" ht="15">
      <c r="C31" s="8" t="s">
        <v>157</v>
      </c>
      <c r="D31" s="1" t="s">
        <v>43</v>
      </c>
    </row>
    <row r="33" spans="3:7" ht="15">
      <c r="C33" s="164"/>
      <c r="D33" s="237"/>
      <c r="E33" s="5"/>
      <c r="F33" s="5"/>
      <c r="G33" s="1"/>
    </row>
  </sheetData>
  <sheetProtection/>
  <printOptions/>
  <pageMargins left="0.7480314960629921" right="0.7480314960629921" top="0.3937007874015748" bottom="0.5905511811023623" header="0.31496062992125984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30" sqref="H30"/>
    </sheetView>
  </sheetViews>
  <sheetFormatPr defaultColWidth="9.28125" defaultRowHeight="12.75"/>
  <cols>
    <col min="1" max="1" width="9.28125" style="1" customWidth="1"/>
    <col min="2" max="2" width="47.28125" style="1" customWidth="1"/>
    <col min="3" max="3" width="10.57421875" style="1" customWidth="1"/>
    <col min="4" max="4" width="9.8515625" style="1" customWidth="1"/>
    <col min="5" max="16384" width="9.28125" style="1" customWidth="1"/>
  </cols>
  <sheetData>
    <row r="1" ht="15">
      <c r="B1" s="2" t="s">
        <v>0</v>
      </c>
    </row>
    <row r="3" ht="15">
      <c r="A3" s="3" t="s">
        <v>196</v>
      </c>
    </row>
    <row r="4" ht="15">
      <c r="B4" s="3" t="s">
        <v>381</v>
      </c>
    </row>
    <row r="5" spans="1:4" ht="15">
      <c r="A5" s="126" t="s">
        <v>123</v>
      </c>
      <c r="B5" s="127"/>
      <c r="C5" s="128" t="s">
        <v>97</v>
      </c>
      <c r="D5" s="112" t="s">
        <v>98</v>
      </c>
    </row>
    <row r="6" spans="2:4" s="8" customFormat="1" ht="30.75" thickBot="1">
      <c r="B6" s="129"/>
      <c r="C6" s="130" t="s">
        <v>34</v>
      </c>
      <c r="D6" s="131" t="s">
        <v>35</v>
      </c>
    </row>
    <row r="7" spans="1:4" ht="36" customHeight="1" thickBot="1">
      <c r="A7" s="125" t="s">
        <v>7</v>
      </c>
      <c r="B7" s="165" t="s">
        <v>10</v>
      </c>
      <c r="C7" s="166" t="s">
        <v>379</v>
      </c>
      <c r="D7" s="166" t="s">
        <v>379</v>
      </c>
    </row>
    <row r="8" spans="1:4" ht="15">
      <c r="A8" s="167">
        <v>1100</v>
      </c>
      <c r="B8" s="168" t="s">
        <v>11</v>
      </c>
      <c r="C8" s="138">
        <f>253496+22806</f>
        <v>276302</v>
      </c>
      <c r="D8" s="140">
        <v>90708</v>
      </c>
    </row>
    <row r="9" spans="1:4" ht="26.25" customHeight="1">
      <c r="A9" s="169">
        <v>1200</v>
      </c>
      <c r="B9" s="74" t="s">
        <v>12</v>
      </c>
      <c r="C9" s="83">
        <f>76890.7464+5339</f>
        <v>82229.7464</v>
      </c>
      <c r="D9" s="75">
        <v>28351.9872</v>
      </c>
    </row>
    <row r="10" spans="1:4" ht="15">
      <c r="A10" s="169">
        <v>2000</v>
      </c>
      <c r="B10" s="80" t="s">
        <v>13</v>
      </c>
      <c r="C10" s="145">
        <f>SUM(C11:C15)</f>
        <v>146177</v>
      </c>
      <c r="D10" s="117">
        <f>SUM(D11:D15)</f>
        <v>81050</v>
      </c>
    </row>
    <row r="11" spans="1:4" ht="15">
      <c r="A11" s="169">
        <v>2100</v>
      </c>
      <c r="B11" s="80" t="s">
        <v>14</v>
      </c>
      <c r="C11" s="145">
        <v>4270</v>
      </c>
      <c r="D11" s="145">
        <v>750</v>
      </c>
    </row>
    <row r="12" spans="1:4" ht="15">
      <c r="A12" s="169">
        <v>2200</v>
      </c>
      <c r="B12" s="80" t="s">
        <v>15</v>
      </c>
      <c r="C12" s="145">
        <f>116993-9417</f>
        <v>107576</v>
      </c>
      <c r="D12" s="145">
        <f>71810-500</f>
        <v>71310</v>
      </c>
    </row>
    <row r="13" spans="1:4" ht="30">
      <c r="A13" s="169">
        <v>2300</v>
      </c>
      <c r="B13" s="74" t="s">
        <v>16</v>
      </c>
      <c r="C13" s="145">
        <f>30461+3870</f>
        <v>34331</v>
      </c>
      <c r="D13" s="145">
        <f>7990+1000</f>
        <v>8990</v>
      </c>
    </row>
    <row r="14" spans="1:4" ht="15">
      <c r="A14" s="169">
        <v>2400</v>
      </c>
      <c r="B14" s="84" t="s">
        <v>62</v>
      </c>
      <c r="C14" s="145"/>
      <c r="D14" s="145"/>
    </row>
    <row r="15" spans="1:4" ht="15">
      <c r="A15" s="169">
        <v>2500</v>
      </c>
      <c r="B15" s="80" t="s">
        <v>17</v>
      </c>
      <c r="C15" s="145"/>
      <c r="D15" s="145"/>
    </row>
    <row r="16" spans="1:4" ht="15">
      <c r="A16" s="169">
        <v>4200</v>
      </c>
      <c r="B16" s="80" t="s">
        <v>19</v>
      </c>
      <c r="C16" s="145"/>
      <c r="D16" s="145"/>
    </row>
    <row r="17" spans="1:4" ht="15">
      <c r="A17" s="169">
        <v>4300</v>
      </c>
      <c r="B17" s="80" t="s">
        <v>20</v>
      </c>
      <c r="C17" s="145"/>
      <c r="D17" s="145"/>
    </row>
    <row r="18" spans="1:4" ht="15">
      <c r="A18" s="169">
        <v>5100</v>
      </c>
      <c r="B18" s="80" t="s">
        <v>22</v>
      </c>
      <c r="C18" s="145"/>
      <c r="D18" s="145"/>
    </row>
    <row r="19" spans="1:4" ht="15">
      <c r="A19" s="169">
        <v>5200</v>
      </c>
      <c r="B19" s="80" t="s">
        <v>23</v>
      </c>
      <c r="C19" s="145">
        <f>14895+91070</f>
        <v>105965</v>
      </c>
      <c r="D19" s="323">
        <f>500-500</f>
        <v>0</v>
      </c>
    </row>
    <row r="20" spans="1:4" s="3" customFormat="1" ht="15">
      <c r="A20" s="169">
        <v>6000</v>
      </c>
      <c r="B20" s="74" t="s">
        <v>60</v>
      </c>
      <c r="C20" s="117">
        <f>SUM(C21:C23)</f>
        <v>0</v>
      </c>
      <c r="D20" s="145">
        <f>SUM(D21:D23)</f>
        <v>0</v>
      </c>
    </row>
    <row r="21" spans="1:4" ht="15">
      <c r="A21" s="169">
        <v>6200</v>
      </c>
      <c r="B21" s="80" t="s">
        <v>24</v>
      </c>
      <c r="C21" s="149"/>
      <c r="D21" s="149"/>
    </row>
    <row r="22" spans="1:4" ht="15">
      <c r="A22" s="169">
        <v>6300</v>
      </c>
      <c r="B22" s="74" t="s">
        <v>61</v>
      </c>
      <c r="C22" s="149"/>
      <c r="D22" s="149"/>
    </row>
    <row r="23" spans="1:4" ht="30">
      <c r="A23" s="169">
        <v>6400</v>
      </c>
      <c r="B23" s="170" t="s">
        <v>77</v>
      </c>
      <c r="C23" s="149"/>
      <c r="D23" s="149"/>
    </row>
    <row r="24" spans="1:4" ht="15.75" thickBot="1">
      <c r="A24" s="169">
        <v>7200</v>
      </c>
      <c r="B24" s="80" t="s">
        <v>25</v>
      </c>
      <c r="C24" s="149"/>
      <c r="D24" s="149"/>
    </row>
    <row r="25" spans="1:4" ht="15.75" thickBot="1">
      <c r="A25" s="171"/>
      <c r="B25" s="104" t="s">
        <v>26</v>
      </c>
      <c r="C25" s="105">
        <f>SUM(C8+C9+C10+C16+C17+C18+C19+C20+C24)</f>
        <v>610673.7464000001</v>
      </c>
      <c r="D25" s="105">
        <f>SUM(D8+D9+D10+D16+D17+D18+D19+D20+D24)</f>
        <v>200109.9872</v>
      </c>
    </row>
    <row r="26" spans="1:4" ht="15">
      <c r="A26" s="4"/>
      <c r="B26" s="107" t="s">
        <v>67</v>
      </c>
      <c r="C26" s="281">
        <f>199090+4301</f>
        <v>203391</v>
      </c>
      <c r="D26" s="108">
        <f>120559+2499</f>
        <v>123058</v>
      </c>
    </row>
    <row r="27" spans="1:4" ht="15">
      <c r="A27" s="4"/>
      <c r="B27" s="107" t="s">
        <v>65</v>
      </c>
      <c r="C27" s="281">
        <v>15500</v>
      </c>
      <c r="D27" s="108"/>
    </row>
    <row r="28" spans="2:4" ht="15">
      <c r="B28" s="107" t="s">
        <v>53</v>
      </c>
      <c r="C28" s="110">
        <f>SUM(C25:C27)</f>
        <v>829564.7464000001</v>
      </c>
      <c r="D28" s="110">
        <f>SUM(D25:D26)</f>
        <v>323167.9872</v>
      </c>
    </row>
    <row r="29" spans="2:4" ht="15">
      <c r="B29" s="163"/>
      <c r="C29" s="172"/>
      <c r="D29" s="7"/>
    </row>
    <row r="30" spans="2:4" ht="15">
      <c r="B30" s="8" t="s">
        <v>157</v>
      </c>
      <c r="C30" s="8"/>
      <c r="D30" s="1" t="s">
        <v>43</v>
      </c>
    </row>
    <row r="31" ht="15">
      <c r="B31" s="4"/>
    </row>
    <row r="32" spans="3:4" ht="15">
      <c r="C32" s="639"/>
      <c r="D32" s="639"/>
    </row>
  </sheetData>
  <sheetProtection/>
  <printOptions/>
  <pageMargins left="0.7480314960629921" right="0.7480314960629921" top="0.3937007874015748" bottom="0.5905511811023623" header="0.3149606299212598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11" sqref="L11"/>
    </sheetView>
  </sheetViews>
  <sheetFormatPr defaultColWidth="9.28125" defaultRowHeight="12.75"/>
  <cols>
    <col min="1" max="1" width="6.7109375" style="1" customWidth="1"/>
    <col min="2" max="2" width="52.57421875" style="1" customWidth="1"/>
    <col min="3" max="4" width="9.140625" style="1" customWidth="1"/>
    <col min="5" max="6" width="9.28125" style="10" customWidth="1"/>
    <col min="7" max="7" width="9.8515625" style="1" customWidth="1"/>
    <col min="8" max="8" width="10.8515625" style="1" customWidth="1"/>
    <col min="9" max="16384" width="9.28125" style="1" customWidth="1"/>
  </cols>
  <sheetData>
    <row r="2" ht="15">
      <c r="B2" s="2" t="s">
        <v>0</v>
      </c>
    </row>
    <row r="4" spans="1:4" ht="15">
      <c r="A4" s="882" t="s">
        <v>124</v>
      </c>
      <c r="B4" s="882"/>
      <c r="C4" s="882"/>
      <c r="D4" s="61"/>
    </row>
    <row r="5" ht="15">
      <c r="B5" s="3" t="s">
        <v>380</v>
      </c>
    </row>
    <row r="6" spans="1:9" s="11" customFormat="1" ht="15">
      <c r="A6" s="173" t="s">
        <v>123</v>
      </c>
      <c r="B6" s="174"/>
      <c r="C6" s="128" t="s">
        <v>80</v>
      </c>
      <c r="D6" s="112" t="s">
        <v>85</v>
      </c>
      <c r="E6" s="128" t="s">
        <v>81</v>
      </c>
      <c r="F6" s="128" t="s">
        <v>202</v>
      </c>
      <c r="G6" s="128" t="s">
        <v>82</v>
      </c>
      <c r="H6" s="128" t="s">
        <v>249</v>
      </c>
      <c r="I6" s="128" t="s">
        <v>234</v>
      </c>
    </row>
    <row r="7" spans="2:9" s="8" customFormat="1" ht="120.75" thickBot="1">
      <c r="B7" s="129"/>
      <c r="C7" s="114" t="s">
        <v>74</v>
      </c>
      <c r="D7" s="131" t="s">
        <v>37</v>
      </c>
      <c r="E7" s="130" t="s">
        <v>159</v>
      </c>
      <c r="F7" s="130" t="s">
        <v>203</v>
      </c>
      <c r="G7" s="114" t="s">
        <v>160</v>
      </c>
      <c r="H7" s="283" t="s">
        <v>250</v>
      </c>
      <c r="I7" s="114" t="s">
        <v>161</v>
      </c>
    </row>
    <row r="8" spans="1:9" ht="34.5" customHeight="1" thickBot="1">
      <c r="A8" s="125" t="s">
        <v>7</v>
      </c>
      <c r="B8" s="165" t="s">
        <v>10</v>
      </c>
      <c r="C8" s="66" t="s">
        <v>379</v>
      </c>
      <c r="D8" s="66" t="s">
        <v>379</v>
      </c>
      <c r="E8" s="66" t="s">
        <v>379</v>
      </c>
      <c r="F8" s="66" t="s">
        <v>379</v>
      </c>
      <c r="G8" s="66" t="s">
        <v>379</v>
      </c>
      <c r="H8" s="66" t="s">
        <v>379</v>
      </c>
      <c r="I8" s="66" t="s">
        <v>379</v>
      </c>
    </row>
    <row r="9" spans="1:9" ht="15">
      <c r="A9" s="175">
        <v>1100</v>
      </c>
      <c r="B9" s="168" t="s">
        <v>11</v>
      </c>
      <c r="C9" s="176"/>
      <c r="D9" s="140">
        <f>227890+1090</f>
        <v>228980</v>
      </c>
      <c r="E9" s="177">
        <v>118791</v>
      </c>
      <c r="F9" s="162">
        <v>1557</v>
      </c>
      <c r="G9" s="649">
        <v>4000</v>
      </c>
      <c r="H9" s="176">
        <v>2540</v>
      </c>
      <c r="I9" s="634">
        <v>8182</v>
      </c>
    </row>
    <row r="10" spans="1:9" ht="30">
      <c r="A10" s="73">
        <v>1200</v>
      </c>
      <c r="B10" s="74" t="s">
        <v>12</v>
      </c>
      <c r="C10" s="178"/>
      <c r="D10" s="75">
        <f>70466.801+116</f>
        <v>70582.801</v>
      </c>
      <c r="E10" s="83">
        <v>35208.1514</v>
      </c>
      <c r="F10" s="241">
        <v>77</v>
      </c>
      <c r="G10" s="147">
        <v>200</v>
      </c>
      <c r="H10" s="147">
        <v>612</v>
      </c>
      <c r="I10" s="83">
        <v>1062</v>
      </c>
    </row>
    <row r="11" spans="1:9" ht="15">
      <c r="A11" s="73">
        <v>2000</v>
      </c>
      <c r="B11" s="80" t="s">
        <v>13</v>
      </c>
      <c r="C11" s="117">
        <f aca="true" t="shared" si="0" ref="C11:I11">SUM(C12:C15)</f>
        <v>80239</v>
      </c>
      <c r="D11" s="117">
        <f t="shared" si="0"/>
        <v>50432</v>
      </c>
      <c r="E11" s="145">
        <f t="shared" si="0"/>
        <v>43357</v>
      </c>
      <c r="F11" s="145">
        <f t="shared" si="0"/>
        <v>68799</v>
      </c>
      <c r="G11" s="117">
        <f t="shared" si="0"/>
        <v>205373</v>
      </c>
      <c r="H11" s="117">
        <f t="shared" si="0"/>
        <v>7230</v>
      </c>
      <c r="I11" s="117">
        <f t="shared" si="0"/>
        <v>63880</v>
      </c>
    </row>
    <row r="12" spans="1:9" ht="15">
      <c r="A12" s="73">
        <v>2100</v>
      </c>
      <c r="B12" s="80" t="s">
        <v>14</v>
      </c>
      <c r="C12" s="154"/>
      <c r="D12" s="145">
        <v>50</v>
      </c>
      <c r="E12" s="145">
        <v>110</v>
      </c>
      <c r="F12" s="179"/>
      <c r="G12" s="179"/>
      <c r="H12" s="179"/>
      <c r="I12" s="117"/>
    </row>
    <row r="13" spans="1:9" ht="15">
      <c r="A13" s="73">
        <v>2200</v>
      </c>
      <c r="B13" s="80" t="s">
        <v>15</v>
      </c>
      <c r="C13" s="154">
        <f>38765+22454</f>
        <v>61219</v>
      </c>
      <c r="D13" s="145">
        <f>31661+3831</f>
        <v>35492</v>
      </c>
      <c r="E13" s="145">
        <f>35592-3170</f>
        <v>32422</v>
      </c>
      <c r="F13" s="179">
        <f>31100+15000+6400</f>
        <v>52500</v>
      </c>
      <c r="G13" s="179">
        <v>78307</v>
      </c>
      <c r="H13" s="179">
        <f>20000-17170</f>
        <v>2830</v>
      </c>
      <c r="I13" s="145">
        <v>63880</v>
      </c>
    </row>
    <row r="14" spans="1:9" s="12" customFormat="1" ht="30">
      <c r="A14" s="73">
        <v>2300</v>
      </c>
      <c r="B14" s="74" t="s">
        <v>16</v>
      </c>
      <c r="C14" s="154">
        <f>14520+4500</f>
        <v>19020</v>
      </c>
      <c r="D14" s="145">
        <v>11040</v>
      </c>
      <c r="E14" s="145">
        <f>8555+2270</f>
        <v>10825</v>
      </c>
      <c r="F14" s="179">
        <f>1350+14949</f>
        <v>16299</v>
      </c>
      <c r="G14" s="179">
        <f>63066+64000</f>
        <v>127066</v>
      </c>
      <c r="H14" s="179">
        <v>4400</v>
      </c>
      <c r="I14" s="145"/>
    </row>
    <row r="15" spans="1:9" ht="15">
      <c r="A15" s="73">
        <v>2400</v>
      </c>
      <c r="B15" s="84" t="s">
        <v>62</v>
      </c>
      <c r="C15" s="154"/>
      <c r="D15" s="145">
        <v>3850</v>
      </c>
      <c r="E15" s="145"/>
      <c r="F15" s="179"/>
      <c r="G15" s="179"/>
      <c r="H15" s="179"/>
      <c r="I15" s="117"/>
    </row>
    <row r="16" spans="1:9" ht="15">
      <c r="A16" s="73">
        <v>3200</v>
      </c>
      <c r="B16" s="80" t="s">
        <v>18</v>
      </c>
      <c r="C16" s="147">
        <v>12900</v>
      </c>
      <c r="D16" s="145"/>
      <c r="E16" s="145"/>
      <c r="F16" s="179">
        <f>31935-26135</f>
        <v>5800</v>
      </c>
      <c r="G16" s="179"/>
      <c r="H16" s="179"/>
      <c r="I16" s="117"/>
    </row>
    <row r="17" spans="1:9" ht="15">
      <c r="A17" s="73">
        <v>4200</v>
      </c>
      <c r="B17" s="80" t="s">
        <v>19</v>
      </c>
      <c r="C17" s="147"/>
      <c r="D17" s="145"/>
      <c r="E17" s="145"/>
      <c r="F17" s="179"/>
      <c r="G17" s="179"/>
      <c r="H17" s="179"/>
      <c r="I17" s="117"/>
    </row>
    <row r="18" spans="1:9" ht="15">
      <c r="A18" s="73">
        <v>4300</v>
      </c>
      <c r="B18" s="80" t="s">
        <v>20</v>
      </c>
      <c r="C18" s="147"/>
      <c r="D18" s="145"/>
      <c r="E18" s="145"/>
      <c r="F18" s="179"/>
      <c r="G18" s="179"/>
      <c r="H18" s="179"/>
      <c r="I18" s="117"/>
    </row>
    <row r="19" spans="1:9" ht="15">
      <c r="A19" s="73">
        <v>5100</v>
      </c>
      <c r="B19" s="80" t="s">
        <v>22</v>
      </c>
      <c r="C19" s="147"/>
      <c r="D19" s="145"/>
      <c r="E19" s="145"/>
      <c r="F19" s="179"/>
      <c r="G19" s="179"/>
      <c r="H19" s="179"/>
      <c r="I19" s="117"/>
    </row>
    <row r="20" spans="1:9" ht="15">
      <c r="A20" s="73">
        <v>5200</v>
      </c>
      <c r="B20" s="80" t="s">
        <v>23</v>
      </c>
      <c r="C20" s="147"/>
      <c r="D20" s="145">
        <f>58228-1556</f>
        <v>56672</v>
      </c>
      <c r="E20" s="180">
        <f>380+7720</f>
        <v>8100</v>
      </c>
      <c r="F20" s="181"/>
      <c r="G20" s="181">
        <f>12705+71051</f>
        <v>83756</v>
      </c>
      <c r="H20" s="181">
        <v>703</v>
      </c>
      <c r="I20" s="120"/>
    </row>
    <row r="21" spans="1:9" ht="15.75" thickBot="1">
      <c r="A21" s="73">
        <v>6400</v>
      </c>
      <c r="B21" s="182" t="s">
        <v>79</v>
      </c>
      <c r="C21" s="117">
        <v>1131</v>
      </c>
      <c r="D21" s="145"/>
      <c r="E21" s="184"/>
      <c r="F21" s="184">
        <v>14500</v>
      </c>
      <c r="G21" s="184"/>
      <c r="H21" s="184"/>
      <c r="I21" s="183"/>
    </row>
    <row r="22" spans="1:9" ht="15.75" thickBot="1">
      <c r="A22" s="64"/>
      <c r="B22" s="104" t="s">
        <v>26</v>
      </c>
      <c r="C22" s="635">
        <f>SUM(C9+C10+C11+C16+C17+C18+C19+C20+C21)</f>
        <v>94270</v>
      </c>
      <c r="D22" s="636">
        <f>SUM(D9+D10+D11+D17+D18+D19+D20)</f>
        <v>406666.801</v>
      </c>
      <c r="E22" s="637">
        <f>SUM(E9+E10+E11+E17+E18+E19+E20)</f>
        <v>205456.1514</v>
      </c>
      <c r="F22" s="637">
        <f>SUM(F9+F10+F11+F16+F17+F18+F19+F20+F21)</f>
        <v>90733</v>
      </c>
      <c r="G22" s="637">
        <f>SUM(G9+G10+G11+G17+G18+G19+G20)</f>
        <v>293329</v>
      </c>
      <c r="H22" s="637">
        <f>SUM(H9+H10+H11+H17+H18+H19+H20)</f>
        <v>11085</v>
      </c>
      <c r="I22" s="638">
        <f>SUM(I9+I10+I11+I16+I17+I18+I19+I20+I21)</f>
        <v>73124</v>
      </c>
    </row>
    <row r="23" spans="2:9" ht="15">
      <c r="B23" s="163"/>
      <c r="C23" s="7"/>
      <c r="D23" s="7"/>
      <c r="E23" s="7"/>
      <c r="F23" s="7"/>
      <c r="G23" s="185"/>
      <c r="H23" s="185"/>
      <c r="I23" s="3"/>
    </row>
    <row r="24" spans="2:9" ht="15">
      <c r="B24" s="163"/>
      <c r="C24" s="172"/>
      <c r="D24" s="172"/>
      <c r="E24" s="172"/>
      <c r="F24" s="172"/>
      <c r="G24" s="172"/>
      <c r="H24" s="172"/>
      <c r="I24" s="172"/>
    </row>
    <row r="25" spans="2:6" ht="15">
      <c r="B25" s="8" t="s">
        <v>157</v>
      </c>
      <c r="C25" s="1" t="s">
        <v>43</v>
      </c>
      <c r="D25" s="8"/>
      <c r="E25" s="1"/>
      <c r="F25" s="1"/>
    </row>
    <row r="26" spans="2:9" ht="15">
      <c r="B26" s="4"/>
      <c r="G26" s="10"/>
      <c r="H26" s="10"/>
      <c r="I26" s="10"/>
    </row>
    <row r="27" spans="2:8" ht="15">
      <c r="B27" s="883"/>
      <c r="C27" s="883"/>
      <c r="D27" s="883"/>
      <c r="E27" s="883"/>
      <c r="F27" s="883"/>
      <c r="G27" s="883"/>
      <c r="H27" s="282"/>
    </row>
    <row r="28" spans="2:9" ht="15">
      <c r="B28" s="9"/>
      <c r="C28" s="639"/>
      <c r="D28" s="639"/>
      <c r="E28" s="641"/>
      <c r="F28" s="640"/>
      <c r="G28" s="639"/>
      <c r="H28" s="639"/>
      <c r="I28" s="639"/>
    </row>
    <row r="29" spans="5:6" ht="15">
      <c r="E29" s="6"/>
      <c r="F29" s="6"/>
    </row>
    <row r="30" spans="5:6" ht="15">
      <c r="E30" s="18"/>
      <c r="F30" s="18"/>
    </row>
  </sheetData>
  <sheetProtection/>
  <mergeCells count="2">
    <mergeCell ref="B27:G27"/>
    <mergeCell ref="A4:C4"/>
  </mergeCells>
  <printOptions/>
  <pageMargins left="0.5511811023622047" right="0.5511811023622047" top="0" bottom="0.5905511811023623" header="0.11811023622047245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3"/>
  <sheetViews>
    <sheetView zoomScalePageLayoutView="0" workbookViewId="0" topLeftCell="A13">
      <selection activeCell="H53" sqref="H53"/>
    </sheetView>
  </sheetViews>
  <sheetFormatPr defaultColWidth="8.8515625" defaultRowHeight="12.75"/>
  <cols>
    <col min="1" max="1" width="57.8515625" style="242" customWidth="1"/>
    <col min="2" max="2" width="9.7109375" style="16" customWidth="1"/>
    <col min="3" max="16384" width="8.8515625" style="16" customWidth="1"/>
  </cols>
  <sheetData>
    <row r="1" spans="1:4" ht="20.25">
      <c r="A1" s="884" t="s">
        <v>204</v>
      </c>
      <c r="B1" s="884"/>
      <c r="C1" s="884"/>
      <c r="D1" s="884"/>
    </row>
    <row r="2" spans="1:4" ht="37.5">
      <c r="A2" s="666" t="s">
        <v>205</v>
      </c>
      <c r="B2" s="666" t="s">
        <v>206</v>
      </c>
      <c r="C2" s="667" t="s">
        <v>207</v>
      </c>
      <c r="D2" s="862"/>
    </row>
    <row r="3" spans="1:4" ht="31.5">
      <c r="A3" s="243" t="s">
        <v>386</v>
      </c>
      <c r="B3" s="668">
        <v>161</v>
      </c>
      <c r="C3" s="17">
        <v>2200</v>
      </c>
      <c r="D3" s="864"/>
    </row>
    <row r="4" spans="1:4" ht="31.5">
      <c r="A4" s="243" t="s">
        <v>386</v>
      </c>
      <c r="B4" s="668">
        <v>449</v>
      </c>
      <c r="C4" s="17">
        <v>2300</v>
      </c>
      <c r="D4" s="863"/>
    </row>
    <row r="5" spans="1:4" ht="31.5">
      <c r="A5" s="243" t="s">
        <v>386</v>
      </c>
      <c r="B5" s="668">
        <v>500</v>
      </c>
      <c r="C5" s="17">
        <v>1100</v>
      </c>
      <c r="D5" s="864"/>
    </row>
    <row r="6" spans="1:4" ht="31.5">
      <c r="A6" s="243" t="s">
        <v>386</v>
      </c>
      <c r="B6" s="668">
        <v>25</v>
      </c>
      <c r="C6" s="17">
        <v>1200</v>
      </c>
      <c r="D6" s="864"/>
    </row>
    <row r="7" spans="1:4" ht="31.5">
      <c r="A7" s="243" t="s">
        <v>387</v>
      </c>
      <c r="B7" s="311">
        <v>3000</v>
      </c>
      <c r="C7" s="17">
        <v>3200</v>
      </c>
      <c r="D7" s="863"/>
    </row>
    <row r="8" spans="1:4" ht="15.75">
      <c r="A8" s="243" t="s">
        <v>388</v>
      </c>
      <c r="B8" s="668">
        <v>800</v>
      </c>
      <c r="C8" s="17">
        <v>3200</v>
      </c>
      <c r="D8" s="863"/>
    </row>
    <row r="9" spans="1:4" ht="15.75">
      <c r="A9" s="243" t="s">
        <v>389</v>
      </c>
      <c r="B9" s="668">
        <v>2000</v>
      </c>
      <c r="C9" s="17">
        <v>3200</v>
      </c>
      <c r="D9" s="863"/>
    </row>
    <row r="10" spans="1:4" ht="31.5" customHeight="1">
      <c r="A10" s="243" t="s">
        <v>590</v>
      </c>
      <c r="B10" s="243">
        <v>3000</v>
      </c>
      <c r="C10" s="17">
        <v>2200</v>
      </c>
      <c r="D10" s="863"/>
    </row>
    <row r="11" spans="1:4" ht="15.75">
      <c r="A11" s="243" t="s">
        <v>591</v>
      </c>
      <c r="B11" s="669">
        <v>10000</v>
      </c>
      <c r="C11" s="17">
        <v>2300</v>
      </c>
      <c r="D11" s="863"/>
    </row>
    <row r="12" spans="1:4" ht="15.75">
      <c r="A12" s="243" t="s">
        <v>592</v>
      </c>
      <c r="B12" s="670">
        <v>3500</v>
      </c>
      <c r="C12" s="17">
        <v>2300</v>
      </c>
      <c r="D12" s="863"/>
    </row>
    <row r="13" spans="1:4" ht="15.75">
      <c r="A13" s="243" t="s">
        <v>593</v>
      </c>
      <c r="B13" s="670">
        <v>600</v>
      </c>
      <c r="C13" s="17">
        <v>2300</v>
      </c>
      <c r="D13" s="863"/>
    </row>
    <row r="14" spans="1:4" ht="31.5">
      <c r="A14" s="671" t="s">
        <v>509</v>
      </c>
      <c r="B14" s="670">
        <v>15000</v>
      </c>
      <c r="C14" s="17">
        <v>2200</v>
      </c>
      <c r="D14" s="863"/>
    </row>
    <row r="15" spans="1:4" ht="31.5">
      <c r="A15" s="671" t="s">
        <v>594</v>
      </c>
      <c r="B15" s="670">
        <v>15000</v>
      </c>
      <c r="C15" s="17">
        <v>2200</v>
      </c>
      <c r="D15" s="866"/>
    </row>
    <row r="16" spans="1:4" ht="15.75">
      <c r="A16" s="672" t="s">
        <v>390</v>
      </c>
      <c r="B16" s="17">
        <v>2200</v>
      </c>
      <c r="C16" s="17">
        <v>2200</v>
      </c>
      <c r="D16" s="865"/>
    </row>
    <row r="17" spans="1:4" ht="15.75">
      <c r="A17" s="243" t="s">
        <v>391</v>
      </c>
      <c r="B17" s="17">
        <f>1500-1109</f>
        <v>391</v>
      </c>
      <c r="C17" s="17">
        <v>2200</v>
      </c>
      <c r="D17" s="867"/>
    </row>
    <row r="18" spans="1:4" ht="15.75">
      <c r="A18" s="243" t="s">
        <v>391</v>
      </c>
      <c r="B18" s="17">
        <v>1057</v>
      </c>
      <c r="C18" s="17">
        <v>1100</v>
      </c>
      <c r="D18" s="867"/>
    </row>
    <row r="19" spans="1:4" ht="15.75">
      <c r="A19" s="243" t="s">
        <v>391</v>
      </c>
      <c r="B19" s="17">
        <v>52</v>
      </c>
      <c r="C19" s="17">
        <v>1200</v>
      </c>
      <c r="D19" s="867"/>
    </row>
    <row r="20" spans="1:4" ht="15.75">
      <c r="A20" s="243" t="s">
        <v>391</v>
      </c>
      <c r="B20" s="17">
        <v>210</v>
      </c>
      <c r="C20" s="17">
        <v>2300</v>
      </c>
      <c r="D20" s="865"/>
    </row>
    <row r="21" spans="1:4" ht="15.75">
      <c r="A21" s="673" t="s">
        <v>392</v>
      </c>
      <c r="B21" s="674">
        <v>1500</v>
      </c>
      <c r="C21" s="17">
        <v>6400</v>
      </c>
      <c r="D21" s="865"/>
    </row>
    <row r="22" spans="1:4" ht="15.75">
      <c r="A22" s="675" t="s">
        <v>209</v>
      </c>
      <c r="B22" s="17">
        <v>3700</v>
      </c>
      <c r="C22" s="17">
        <v>6400</v>
      </c>
      <c r="D22" s="865"/>
    </row>
    <row r="23" spans="1:4" ht="15.75">
      <c r="A23" s="675" t="s">
        <v>209</v>
      </c>
      <c r="B23" s="17">
        <v>140</v>
      </c>
      <c r="C23" s="17">
        <v>2300</v>
      </c>
      <c r="D23" s="865"/>
    </row>
    <row r="24" spans="1:4" ht="15.75">
      <c r="A24" s="675" t="s">
        <v>208</v>
      </c>
      <c r="B24" s="17">
        <v>5000</v>
      </c>
      <c r="C24" s="17">
        <v>2200</v>
      </c>
      <c r="D24" s="865"/>
    </row>
    <row r="25" spans="1:4" ht="15.75">
      <c r="A25" s="675" t="s">
        <v>208</v>
      </c>
      <c r="B25" s="17">
        <v>1000</v>
      </c>
      <c r="C25" s="17">
        <v>2300</v>
      </c>
      <c r="D25" s="865"/>
    </row>
    <row r="26" spans="1:4" ht="15.75">
      <c r="A26" s="675" t="s">
        <v>393</v>
      </c>
      <c r="B26" s="17">
        <v>1600</v>
      </c>
      <c r="C26" s="17">
        <v>6400</v>
      </c>
      <c r="D26" s="865"/>
    </row>
    <row r="27" spans="1:4" ht="15.75">
      <c r="A27" s="675" t="s">
        <v>394</v>
      </c>
      <c r="B27" s="674">
        <v>1200</v>
      </c>
      <c r="C27" s="17">
        <v>2200</v>
      </c>
      <c r="D27" s="865"/>
    </row>
    <row r="28" spans="1:4" ht="15.75">
      <c r="A28" s="675" t="s">
        <v>395</v>
      </c>
      <c r="B28" s="674">
        <f>4200-4152</f>
        <v>48</v>
      </c>
      <c r="C28" s="17">
        <v>2200</v>
      </c>
      <c r="D28" s="865"/>
    </row>
    <row r="29" spans="1:4" ht="15.75">
      <c r="A29" s="675" t="s">
        <v>210</v>
      </c>
      <c r="B29" s="17">
        <v>3000</v>
      </c>
      <c r="C29" s="17">
        <v>2200</v>
      </c>
      <c r="D29" s="863"/>
    </row>
    <row r="30" spans="1:4" ht="15.75">
      <c r="A30" s="675" t="s">
        <v>595</v>
      </c>
      <c r="B30" s="17">
        <v>400</v>
      </c>
      <c r="C30" s="17">
        <v>2300</v>
      </c>
      <c r="D30" s="863"/>
    </row>
    <row r="31" spans="1:256" ht="15.75">
      <c r="A31" s="243" t="s">
        <v>396</v>
      </c>
      <c r="B31" s="17">
        <v>2000</v>
      </c>
      <c r="C31" s="17">
        <v>6400</v>
      </c>
      <c r="D31" s="868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3"/>
      <c r="CF31" s="233"/>
      <c r="CG31" s="233"/>
      <c r="CH31" s="233"/>
      <c r="CI31" s="233"/>
      <c r="CJ31" s="233"/>
      <c r="CK31" s="233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33"/>
      <c r="CW31" s="233"/>
      <c r="CX31" s="233"/>
      <c r="CY31" s="233"/>
      <c r="CZ31" s="233"/>
      <c r="DA31" s="233"/>
      <c r="DB31" s="233"/>
      <c r="DC31" s="233"/>
      <c r="DD31" s="233"/>
      <c r="DE31" s="233"/>
      <c r="DF31" s="233"/>
      <c r="DG31" s="233"/>
      <c r="DH31" s="233"/>
      <c r="DI31" s="233"/>
      <c r="DJ31" s="233"/>
      <c r="DK31" s="233"/>
      <c r="DL31" s="233"/>
      <c r="DM31" s="233"/>
      <c r="DN31" s="233"/>
      <c r="DO31" s="233"/>
      <c r="DP31" s="233"/>
      <c r="DQ31" s="233"/>
      <c r="DR31" s="233"/>
      <c r="DS31" s="233"/>
      <c r="DT31" s="233"/>
      <c r="DU31" s="233"/>
      <c r="DV31" s="233"/>
      <c r="DW31" s="233"/>
      <c r="DX31" s="233"/>
      <c r="DY31" s="233"/>
      <c r="DZ31" s="233"/>
      <c r="EA31" s="233"/>
      <c r="EB31" s="233"/>
      <c r="EC31" s="233"/>
      <c r="ED31" s="233"/>
      <c r="EE31" s="233"/>
      <c r="EF31" s="233"/>
      <c r="EG31" s="233"/>
      <c r="EH31" s="233"/>
      <c r="EI31" s="233"/>
      <c r="EJ31" s="233"/>
      <c r="EK31" s="233"/>
      <c r="EL31" s="233"/>
      <c r="EM31" s="233"/>
      <c r="EN31" s="233"/>
      <c r="EO31" s="233"/>
      <c r="EP31" s="233"/>
      <c r="EQ31" s="233"/>
      <c r="ER31" s="233"/>
      <c r="ES31" s="233"/>
      <c r="ET31" s="233"/>
      <c r="EU31" s="233"/>
      <c r="EV31" s="233"/>
      <c r="EW31" s="233"/>
      <c r="EX31" s="233"/>
      <c r="EY31" s="233"/>
      <c r="EZ31" s="233"/>
      <c r="FA31" s="233"/>
      <c r="FB31" s="233"/>
      <c r="FC31" s="233"/>
      <c r="FD31" s="233"/>
      <c r="FE31" s="233"/>
      <c r="FF31" s="233"/>
      <c r="FG31" s="233"/>
      <c r="FH31" s="233"/>
      <c r="FI31" s="233"/>
      <c r="FJ31" s="233"/>
      <c r="FK31" s="233"/>
      <c r="FL31" s="233"/>
      <c r="FM31" s="233"/>
      <c r="FN31" s="233"/>
      <c r="FO31" s="233"/>
      <c r="FP31" s="233"/>
      <c r="FQ31" s="233"/>
      <c r="FR31" s="233"/>
      <c r="FS31" s="233"/>
      <c r="FT31" s="233"/>
      <c r="FU31" s="233"/>
      <c r="FV31" s="233"/>
      <c r="FW31" s="233"/>
      <c r="FX31" s="233"/>
      <c r="FY31" s="233"/>
      <c r="FZ31" s="233"/>
      <c r="GA31" s="233"/>
      <c r="GB31" s="233"/>
      <c r="GC31" s="233"/>
      <c r="GD31" s="233"/>
      <c r="GE31" s="233"/>
      <c r="GF31" s="233"/>
      <c r="GG31" s="233"/>
      <c r="GH31" s="233"/>
      <c r="GI31" s="233"/>
      <c r="GJ31" s="233"/>
      <c r="GK31" s="233"/>
      <c r="GL31" s="233"/>
      <c r="GM31" s="233"/>
      <c r="GN31" s="233"/>
      <c r="GO31" s="233"/>
      <c r="GP31" s="233"/>
      <c r="GQ31" s="233"/>
      <c r="GR31" s="233"/>
      <c r="GS31" s="233"/>
      <c r="GT31" s="233"/>
      <c r="GU31" s="233"/>
      <c r="GV31" s="233"/>
      <c r="GW31" s="233"/>
      <c r="GX31" s="233"/>
      <c r="GY31" s="233"/>
      <c r="GZ31" s="233"/>
      <c r="HA31" s="233"/>
      <c r="HB31" s="233"/>
      <c r="HC31" s="233"/>
      <c r="HD31" s="233"/>
      <c r="HE31" s="233"/>
      <c r="HF31" s="233"/>
      <c r="HG31" s="233"/>
      <c r="HH31" s="233"/>
      <c r="HI31" s="233"/>
      <c r="HJ31" s="233"/>
      <c r="HK31" s="233"/>
      <c r="HL31" s="233"/>
      <c r="HM31" s="233"/>
      <c r="HN31" s="233"/>
      <c r="HO31" s="233"/>
      <c r="HP31" s="233"/>
      <c r="HQ31" s="233"/>
      <c r="HR31" s="233"/>
      <c r="HS31" s="233"/>
      <c r="HT31" s="233"/>
      <c r="HU31" s="233"/>
      <c r="HV31" s="233"/>
      <c r="HW31" s="233"/>
      <c r="HX31" s="233"/>
      <c r="HY31" s="233"/>
      <c r="HZ31" s="233"/>
      <c r="IA31" s="233"/>
      <c r="IB31" s="233"/>
      <c r="IC31" s="233"/>
      <c r="ID31" s="233"/>
      <c r="IE31" s="233"/>
      <c r="IF31" s="233"/>
      <c r="IG31" s="233"/>
      <c r="IH31" s="233"/>
      <c r="II31" s="233"/>
      <c r="IJ31" s="233"/>
      <c r="IK31" s="233"/>
      <c r="IL31" s="233"/>
      <c r="IM31" s="233"/>
      <c r="IN31" s="233"/>
      <c r="IO31" s="233"/>
      <c r="IP31" s="233"/>
      <c r="IQ31" s="233"/>
      <c r="IR31" s="233"/>
      <c r="IS31" s="233"/>
      <c r="IT31" s="233"/>
      <c r="IU31" s="233"/>
      <c r="IV31" s="233"/>
    </row>
    <row r="32" spans="1:4" ht="15.75">
      <c r="A32" s="673" t="s">
        <v>397</v>
      </c>
      <c r="B32" s="670">
        <v>800</v>
      </c>
      <c r="C32" s="17">
        <v>2200</v>
      </c>
      <c r="D32" s="863"/>
    </row>
    <row r="33" spans="1:4" ht="15.75">
      <c r="A33" s="673" t="s">
        <v>398</v>
      </c>
      <c r="B33" s="17">
        <v>1200</v>
      </c>
      <c r="C33" s="17">
        <v>2200</v>
      </c>
      <c r="D33" s="869"/>
    </row>
    <row r="34" spans="1:4" ht="15.75">
      <c r="A34" s="676" t="s">
        <v>399</v>
      </c>
      <c r="B34" s="17">
        <v>1200</v>
      </c>
      <c r="C34" s="17">
        <v>6400</v>
      </c>
      <c r="D34" s="863"/>
    </row>
    <row r="35" spans="1:4" ht="15.75">
      <c r="A35" s="676" t="s">
        <v>400</v>
      </c>
      <c r="B35" s="17">
        <v>2000</v>
      </c>
      <c r="C35" s="17">
        <v>2200</v>
      </c>
      <c r="D35" s="863"/>
    </row>
    <row r="36" spans="1:4" ht="17.25" customHeight="1">
      <c r="A36" s="328" t="s">
        <v>401</v>
      </c>
      <c r="B36" s="19">
        <v>2000</v>
      </c>
      <c r="C36" s="19">
        <v>6400</v>
      </c>
      <c r="D36" s="863"/>
    </row>
    <row r="37" spans="1:4" ht="31.5">
      <c r="A37" s="243" t="s">
        <v>402</v>
      </c>
      <c r="B37" s="17">
        <v>3500</v>
      </c>
      <c r="C37" s="17">
        <v>2200</v>
      </c>
      <c r="D37" s="863"/>
    </row>
    <row r="38" spans="1:256" s="233" customFormat="1" ht="15.75">
      <c r="A38" s="243" t="s">
        <v>403</v>
      </c>
      <c r="B38" s="670">
        <v>2500</v>
      </c>
      <c r="C38" s="17">
        <v>6400</v>
      </c>
      <c r="D38" s="863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4" ht="15.75">
      <c r="A39" s="48" t="s">
        <v>217</v>
      </c>
      <c r="B39" s="50">
        <f>SUM(B3:B38)</f>
        <v>90733</v>
      </c>
      <c r="C39" s="17"/>
      <c r="D39" s="863"/>
    </row>
    <row r="40" ht="15.75">
      <c r="B40" s="677"/>
    </row>
    <row r="41" ht="15.75">
      <c r="C41" s="678"/>
    </row>
    <row r="42" spans="1:3" ht="15.75">
      <c r="A42" s="242" t="s">
        <v>404</v>
      </c>
      <c r="C42" s="16" t="s">
        <v>405</v>
      </c>
    </row>
    <row r="44" ht="15.75">
      <c r="C44" s="677"/>
    </row>
    <row r="45" ht="15.75">
      <c r="C45" s="677"/>
    </row>
    <row r="47" ht="15.75">
      <c r="C47" s="677"/>
    </row>
    <row r="48" ht="15.75">
      <c r="C48" s="677"/>
    </row>
    <row r="49" ht="15.75">
      <c r="C49" s="677"/>
    </row>
    <row r="53" ht="15.75">
      <c r="C53" s="678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22" sqref="K22"/>
    </sheetView>
  </sheetViews>
  <sheetFormatPr defaultColWidth="9.28125" defaultRowHeight="12.75"/>
  <cols>
    <col min="1" max="1" width="9.7109375" style="1" customWidth="1"/>
    <col min="2" max="2" width="49.28125" style="8" customWidth="1"/>
    <col min="3" max="3" width="11.140625" style="1" customWidth="1"/>
    <col min="4" max="4" width="10.28125" style="1" customWidth="1"/>
    <col min="5" max="5" width="9.421875" style="1" customWidth="1"/>
    <col min="6" max="16384" width="9.28125" style="1" customWidth="1"/>
  </cols>
  <sheetData>
    <row r="1" ht="15">
      <c r="B1" s="186" t="s">
        <v>0</v>
      </c>
    </row>
    <row r="2" ht="15">
      <c r="B2" s="186"/>
    </row>
    <row r="3" ht="15">
      <c r="A3" s="3" t="s">
        <v>51</v>
      </c>
    </row>
    <row r="4" ht="21" customHeight="1">
      <c r="B4" s="129" t="s">
        <v>380</v>
      </c>
    </row>
    <row r="5" spans="1:6" ht="15">
      <c r="A5" s="3" t="s">
        <v>123</v>
      </c>
      <c r="C5" s="112" t="s">
        <v>235</v>
      </c>
      <c r="D5" s="112" t="s">
        <v>236</v>
      </c>
      <c r="E5" s="128" t="s">
        <v>237</v>
      </c>
      <c r="F5" s="128" t="s">
        <v>268</v>
      </c>
    </row>
    <row r="6" spans="2:6" s="8" customFormat="1" ht="60.75" thickBot="1">
      <c r="B6" s="129"/>
      <c r="C6" s="130" t="s">
        <v>38</v>
      </c>
      <c r="D6" s="130" t="s">
        <v>125</v>
      </c>
      <c r="E6" s="130" t="s">
        <v>70</v>
      </c>
      <c r="F6" s="8" t="s">
        <v>269</v>
      </c>
    </row>
    <row r="7" spans="1:6" ht="31.5" customHeight="1" thickBot="1">
      <c r="A7" s="293" t="s">
        <v>7</v>
      </c>
      <c r="B7" s="294" t="s">
        <v>10</v>
      </c>
      <c r="C7" s="292" t="s">
        <v>379</v>
      </c>
      <c r="D7" s="292" t="s">
        <v>379</v>
      </c>
      <c r="E7" s="292" t="s">
        <v>379</v>
      </c>
      <c r="F7" s="66" t="s">
        <v>379</v>
      </c>
    </row>
    <row r="8" spans="1:6" ht="15">
      <c r="A8" s="175">
        <v>1100</v>
      </c>
      <c r="B8" s="187" t="s">
        <v>11</v>
      </c>
      <c r="C8" s="140">
        <v>346943</v>
      </c>
      <c r="D8" s="188">
        <v>42158</v>
      </c>
      <c r="E8" s="189"/>
      <c r="F8" s="189"/>
    </row>
    <row r="9" spans="1:6" ht="29.25" customHeight="1">
      <c r="A9" s="73">
        <v>1200</v>
      </c>
      <c r="B9" s="74" t="s">
        <v>12</v>
      </c>
      <c r="C9" s="679">
        <v>163236.2187</v>
      </c>
      <c r="D9" s="190">
        <v>10156</v>
      </c>
      <c r="E9" s="75"/>
      <c r="F9" s="75"/>
    </row>
    <row r="10" spans="1:6" ht="15">
      <c r="A10" s="73">
        <v>2000</v>
      </c>
      <c r="B10" s="74" t="s">
        <v>13</v>
      </c>
      <c r="C10" s="117">
        <f>SUM(C11:C15)</f>
        <v>53845</v>
      </c>
      <c r="D10" s="117">
        <f>SUM(D11:D15)</f>
        <v>142693</v>
      </c>
      <c r="E10" s="117">
        <f>SUM(E11:E15)</f>
        <v>15018</v>
      </c>
      <c r="F10" s="117">
        <f>SUM(F11:F15)</f>
        <v>62000</v>
      </c>
    </row>
    <row r="11" spans="1:6" ht="15">
      <c r="A11" s="73">
        <v>2100</v>
      </c>
      <c r="B11" s="74" t="s">
        <v>14</v>
      </c>
      <c r="C11" s="149"/>
      <c r="D11" s="149">
        <v>38200</v>
      </c>
      <c r="E11" s="117"/>
      <c r="F11" s="117"/>
    </row>
    <row r="12" spans="1:6" ht="15">
      <c r="A12" s="73">
        <v>2200</v>
      </c>
      <c r="B12" s="74" t="s">
        <v>15</v>
      </c>
      <c r="C12" s="149">
        <v>18250</v>
      </c>
      <c r="D12" s="117">
        <v>102768</v>
      </c>
      <c r="E12" s="117">
        <v>12188</v>
      </c>
      <c r="F12" s="117">
        <v>62000</v>
      </c>
    </row>
    <row r="13" spans="1:6" ht="30">
      <c r="A13" s="73">
        <v>2300</v>
      </c>
      <c r="B13" s="74" t="s">
        <v>16</v>
      </c>
      <c r="C13" s="149">
        <f>33900-605</f>
        <v>33295</v>
      </c>
      <c r="D13" s="117">
        <v>1725</v>
      </c>
      <c r="E13" s="117">
        <v>2830</v>
      </c>
      <c r="F13" s="117"/>
    </row>
    <row r="14" spans="1:6" ht="15">
      <c r="A14" s="73">
        <v>2400</v>
      </c>
      <c r="B14" s="84" t="s">
        <v>62</v>
      </c>
      <c r="C14" s="149"/>
      <c r="D14" s="191"/>
      <c r="E14" s="120"/>
      <c r="F14" s="120"/>
    </row>
    <row r="15" spans="1:6" ht="15">
      <c r="A15" s="73">
        <v>2500</v>
      </c>
      <c r="B15" s="74" t="s">
        <v>17</v>
      </c>
      <c r="C15" s="149">
        <v>2300</v>
      </c>
      <c r="D15" s="149"/>
      <c r="E15" s="117"/>
      <c r="F15" s="117"/>
    </row>
    <row r="16" spans="1:6" ht="15">
      <c r="A16" s="73">
        <v>4200</v>
      </c>
      <c r="B16" s="74" t="s">
        <v>19</v>
      </c>
      <c r="C16" s="149"/>
      <c r="D16" s="149"/>
      <c r="E16" s="117"/>
      <c r="F16" s="117"/>
    </row>
    <row r="17" spans="1:6" ht="15">
      <c r="A17" s="73">
        <v>4300</v>
      </c>
      <c r="B17" s="74" t="s">
        <v>20</v>
      </c>
      <c r="C17" s="149"/>
      <c r="D17" s="149"/>
      <c r="E17" s="117"/>
      <c r="F17" s="117"/>
    </row>
    <row r="18" spans="1:6" ht="15">
      <c r="A18" s="73">
        <v>5100</v>
      </c>
      <c r="B18" s="74" t="s">
        <v>22</v>
      </c>
      <c r="C18" s="117"/>
      <c r="D18" s="145"/>
      <c r="E18" s="117"/>
      <c r="F18" s="117"/>
    </row>
    <row r="19" spans="1:6" ht="15">
      <c r="A19" s="73">
        <v>5200</v>
      </c>
      <c r="B19" s="74" t="s">
        <v>23</v>
      </c>
      <c r="C19" s="117">
        <v>605</v>
      </c>
      <c r="D19" s="152">
        <v>18165</v>
      </c>
      <c r="E19" s="151">
        <v>20000</v>
      </c>
      <c r="F19" s="151"/>
    </row>
    <row r="20" spans="1:6" ht="15">
      <c r="A20" s="73">
        <v>6000</v>
      </c>
      <c r="B20" s="74" t="s">
        <v>60</v>
      </c>
      <c r="C20" s="149">
        <f>SUM(C21:C22)</f>
        <v>0</v>
      </c>
      <c r="D20" s="149">
        <f>SUM(D21:D22)</f>
        <v>0</v>
      </c>
      <c r="E20" s="149">
        <f>SUM(E21:E22)</f>
        <v>0</v>
      </c>
      <c r="F20" s="149">
        <f>SUM(F21:F22)</f>
        <v>0</v>
      </c>
    </row>
    <row r="21" spans="1:6" s="5" customFormat="1" ht="15">
      <c r="A21" s="73">
        <v>6200</v>
      </c>
      <c r="B21" s="74" t="s">
        <v>24</v>
      </c>
      <c r="C21" s="149"/>
      <c r="D21" s="149"/>
      <c r="E21" s="117"/>
      <c r="F21" s="117"/>
    </row>
    <row r="22" spans="1:6" ht="15">
      <c r="A22" s="73">
        <v>6300</v>
      </c>
      <c r="B22" s="74" t="s">
        <v>61</v>
      </c>
      <c r="C22" s="154"/>
      <c r="D22" s="154"/>
      <c r="E22" s="149"/>
      <c r="F22" s="149"/>
    </row>
    <row r="23" spans="1:6" ht="15.75" thickBot="1">
      <c r="A23" s="73">
        <v>7200</v>
      </c>
      <c r="B23" s="74" t="s">
        <v>25</v>
      </c>
      <c r="C23" s="149"/>
      <c r="D23" s="149"/>
      <c r="E23" s="149"/>
      <c r="F23" s="149"/>
    </row>
    <row r="24" spans="1:6" ht="15.75" thickBot="1">
      <c r="A24" s="64"/>
      <c r="B24" s="192" t="s">
        <v>26</v>
      </c>
      <c r="C24" s="105">
        <f>SUM(C8+C9+C10+C16+C17+C18+C19+C20+C23)</f>
        <v>564629.2187</v>
      </c>
      <c r="D24" s="105">
        <f>SUM(D8+D9+D10+D16+D17+D18+D19+D20+D23)</f>
        <v>213172</v>
      </c>
      <c r="E24" s="123">
        <f>SUM(E8+E9+E10+E16+E17+E18+E19+E20+E23)</f>
        <v>35018</v>
      </c>
      <c r="F24" s="123">
        <f>SUM(F8+F9+F10+F16+F17+F18+F19+F20+F23)</f>
        <v>62000</v>
      </c>
    </row>
    <row r="25" spans="2:5" ht="15">
      <c r="B25" s="163"/>
      <c r="E25" s="3"/>
    </row>
    <row r="26" spans="2:3" ht="15">
      <c r="B26" s="8" t="s">
        <v>157</v>
      </c>
      <c r="C26" s="1" t="s">
        <v>43</v>
      </c>
    </row>
    <row r="28" spans="3:6" ht="15">
      <c r="C28" s="639"/>
      <c r="D28" s="639"/>
      <c r="E28" s="639"/>
      <c r="F28" s="639"/>
    </row>
  </sheetData>
  <sheetProtection/>
  <printOptions/>
  <pageMargins left="0.7480314960629921" right="0.4724409448818898" top="0.3937007874015748" bottom="0.3937007874015748" header="0.31496062992125984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36" sqref="J36"/>
    </sheetView>
  </sheetViews>
  <sheetFormatPr defaultColWidth="9.28125" defaultRowHeight="12.75"/>
  <cols>
    <col min="1" max="1" width="7.140625" style="1" customWidth="1"/>
    <col min="2" max="2" width="46.8515625" style="1" customWidth="1"/>
    <col min="3" max="5" width="9.140625" style="1" customWidth="1"/>
    <col min="6" max="6" width="9.421875" style="1" bestFit="1" customWidth="1"/>
    <col min="7" max="7" width="10.7109375" style="1" customWidth="1"/>
    <col min="8" max="16384" width="9.28125" style="1" customWidth="1"/>
  </cols>
  <sheetData>
    <row r="1" ht="15">
      <c r="B1" s="2" t="s">
        <v>0</v>
      </c>
    </row>
    <row r="3" spans="1:3" ht="15">
      <c r="A3" s="193" t="s">
        <v>52</v>
      </c>
      <c r="B3" s="193"/>
      <c r="C3" s="193"/>
    </row>
    <row r="4" ht="15">
      <c r="B4" s="3" t="s">
        <v>380</v>
      </c>
    </row>
    <row r="5" spans="1:7" ht="15">
      <c r="A5" s="3" t="s">
        <v>123</v>
      </c>
      <c r="C5" s="112" t="s">
        <v>83</v>
      </c>
      <c r="D5" s="112" t="s">
        <v>84</v>
      </c>
      <c r="E5" s="112" t="s">
        <v>211</v>
      </c>
      <c r="F5" s="128" t="s">
        <v>238</v>
      </c>
      <c r="G5" s="60">
        <v>10.4001</v>
      </c>
    </row>
    <row r="6" spans="1:7" ht="75.75" thickBot="1">
      <c r="A6" s="4"/>
      <c r="B6" s="4"/>
      <c r="C6" s="131" t="s">
        <v>39</v>
      </c>
      <c r="D6" s="131" t="s">
        <v>40</v>
      </c>
      <c r="E6" s="131" t="s">
        <v>212</v>
      </c>
      <c r="F6" s="114" t="s">
        <v>73</v>
      </c>
      <c r="G6" s="131" t="s">
        <v>127</v>
      </c>
    </row>
    <row r="7" spans="1:7" ht="38.25" customHeight="1" thickBot="1">
      <c r="A7" s="194" t="s">
        <v>7</v>
      </c>
      <c r="B7" s="65" t="s">
        <v>10</v>
      </c>
      <c r="C7" s="195" t="s">
        <v>379</v>
      </c>
      <c r="D7" s="195" t="s">
        <v>379</v>
      </c>
      <c r="E7" s="195" t="s">
        <v>379</v>
      </c>
      <c r="F7" s="195" t="s">
        <v>379</v>
      </c>
      <c r="G7" s="66" t="s">
        <v>379</v>
      </c>
    </row>
    <row r="8" spans="1:7" ht="15">
      <c r="A8" s="167">
        <v>1100</v>
      </c>
      <c r="B8" s="168" t="s">
        <v>11</v>
      </c>
      <c r="C8" s="140">
        <f>616256+4700</f>
        <v>620956</v>
      </c>
      <c r="D8" s="196"/>
      <c r="E8" s="196">
        <v>195000</v>
      </c>
      <c r="F8" s="196">
        <v>4800</v>
      </c>
      <c r="G8" s="189">
        <v>116804</v>
      </c>
    </row>
    <row r="9" spans="1:7" ht="26.25" customHeight="1">
      <c r="A9" s="169">
        <v>1200</v>
      </c>
      <c r="B9" s="74" t="s">
        <v>12</v>
      </c>
      <c r="C9" s="75">
        <f>186418+2300</f>
        <v>188718</v>
      </c>
      <c r="D9" s="117"/>
      <c r="E9" s="75">
        <v>46976</v>
      </c>
      <c r="F9" s="75">
        <v>1156</v>
      </c>
      <c r="G9" s="75">
        <v>36827.312300000005</v>
      </c>
    </row>
    <row r="10" spans="1:7" ht="15">
      <c r="A10" s="169">
        <v>2000</v>
      </c>
      <c r="B10" s="80" t="s">
        <v>13</v>
      </c>
      <c r="C10" s="117">
        <f>SUM(C11:C15)</f>
        <v>154341</v>
      </c>
      <c r="D10" s="117"/>
      <c r="E10" s="117">
        <f>SUM(E11:E15)</f>
        <v>0</v>
      </c>
      <c r="F10" s="117"/>
      <c r="G10" s="117">
        <f>SUM(G11:G15)</f>
        <v>15817</v>
      </c>
    </row>
    <row r="11" spans="1:7" ht="15">
      <c r="A11" s="169">
        <v>2100</v>
      </c>
      <c r="B11" s="80" t="s">
        <v>14</v>
      </c>
      <c r="C11" s="117">
        <f>688+2370</f>
        <v>3058</v>
      </c>
      <c r="D11" s="117"/>
      <c r="E11" s="117"/>
      <c r="F11" s="117"/>
      <c r="G11" s="117">
        <f>300+800</f>
        <v>1100</v>
      </c>
    </row>
    <row r="12" spans="1:7" ht="15">
      <c r="A12" s="169">
        <v>2200</v>
      </c>
      <c r="B12" s="80" t="s">
        <v>15</v>
      </c>
      <c r="C12" s="145">
        <f>101399-7995</f>
        <v>93404</v>
      </c>
      <c r="D12" s="117"/>
      <c r="E12" s="117"/>
      <c r="F12" s="117"/>
      <c r="G12" s="117">
        <f>6445-970</f>
        <v>5475</v>
      </c>
    </row>
    <row r="13" spans="1:7" ht="30">
      <c r="A13" s="169">
        <v>2300</v>
      </c>
      <c r="B13" s="74" t="s">
        <v>16</v>
      </c>
      <c r="C13" s="145">
        <v>57879</v>
      </c>
      <c r="D13" s="117"/>
      <c r="E13" s="117"/>
      <c r="F13" s="117"/>
      <c r="G13" s="117">
        <f>9440-198</f>
        <v>9242</v>
      </c>
    </row>
    <row r="14" spans="1:7" ht="15">
      <c r="A14" s="169">
        <v>2400</v>
      </c>
      <c r="B14" s="84" t="s">
        <v>62</v>
      </c>
      <c r="C14" s="145"/>
      <c r="D14" s="117"/>
      <c r="E14" s="117"/>
      <c r="F14" s="117"/>
      <c r="G14" s="120"/>
    </row>
    <row r="15" spans="1:7" ht="15">
      <c r="A15" s="169">
        <v>2500</v>
      </c>
      <c r="B15" s="80" t="s">
        <v>17</v>
      </c>
      <c r="C15" s="145"/>
      <c r="D15" s="117"/>
      <c r="E15" s="117"/>
      <c r="F15" s="117"/>
      <c r="G15" s="117"/>
    </row>
    <row r="16" spans="1:7" ht="15">
      <c r="A16" s="169">
        <v>3200</v>
      </c>
      <c r="B16" s="80" t="s">
        <v>18</v>
      </c>
      <c r="C16" s="145"/>
      <c r="D16" s="117"/>
      <c r="E16" s="117"/>
      <c r="F16" s="117"/>
      <c r="G16" s="117"/>
    </row>
    <row r="17" spans="1:7" ht="15">
      <c r="A17" s="169">
        <v>4200</v>
      </c>
      <c r="B17" s="80" t="s">
        <v>19</v>
      </c>
      <c r="C17" s="145"/>
      <c r="D17" s="117"/>
      <c r="E17" s="117"/>
      <c r="F17" s="117"/>
      <c r="G17" s="117"/>
    </row>
    <row r="18" spans="1:7" ht="15">
      <c r="A18" s="169">
        <v>4300</v>
      </c>
      <c r="B18" s="80" t="s">
        <v>20</v>
      </c>
      <c r="C18" s="145"/>
      <c r="D18" s="117"/>
      <c r="E18" s="117"/>
      <c r="F18" s="117"/>
      <c r="G18" s="117"/>
    </row>
    <row r="19" spans="1:7" ht="15">
      <c r="A19" s="169">
        <v>5100</v>
      </c>
      <c r="B19" s="80" t="s">
        <v>22</v>
      </c>
      <c r="C19" s="145">
        <v>1560</v>
      </c>
      <c r="D19" s="117"/>
      <c r="E19" s="117"/>
      <c r="F19" s="117"/>
      <c r="G19" s="117"/>
    </row>
    <row r="20" spans="1:7" ht="15">
      <c r="A20" s="169">
        <v>5200</v>
      </c>
      <c r="B20" s="80" t="s">
        <v>23</v>
      </c>
      <c r="C20" s="145">
        <f>4900+50920</f>
        <v>55820</v>
      </c>
      <c r="D20" s="117"/>
      <c r="E20" s="117"/>
      <c r="F20" s="117"/>
      <c r="G20" s="117">
        <v>1861</v>
      </c>
    </row>
    <row r="21" spans="1:7" s="6" customFormat="1" ht="15">
      <c r="A21" s="169">
        <v>6000</v>
      </c>
      <c r="B21" s="80" t="s">
        <v>60</v>
      </c>
      <c r="C21" s="115">
        <f>SUM(C22:C24)</f>
        <v>0</v>
      </c>
      <c r="D21" s="115">
        <f>SUM(D22:D24)</f>
        <v>1078148</v>
      </c>
      <c r="E21" s="115">
        <f>SUM(E22:E24)</f>
        <v>9372</v>
      </c>
      <c r="F21" s="115">
        <f>SUM(F22:F24)</f>
        <v>0</v>
      </c>
      <c r="G21" s="115">
        <f>SUM(G22:G25)</f>
        <v>170</v>
      </c>
    </row>
    <row r="22" spans="1:7" s="6" customFormat="1" ht="15">
      <c r="A22" s="169">
        <v>6200</v>
      </c>
      <c r="B22" s="80" t="s">
        <v>24</v>
      </c>
      <c r="C22" s="115"/>
      <c r="D22" s="117">
        <f>216060+51493</f>
        <v>267553</v>
      </c>
      <c r="E22" s="115"/>
      <c r="F22" s="115"/>
      <c r="G22" s="115"/>
    </row>
    <row r="23" spans="1:7" s="6" customFormat="1" ht="15">
      <c r="A23" s="169">
        <v>6300</v>
      </c>
      <c r="B23" s="80" t="s">
        <v>61</v>
      </c>
      <c r="C23" s="197"/>
      <c r="D23" s="117">
        <f>229000-24500</f>
        <v>204500</v>
      </c>
      <c r="E23" s="117"/>
      <c r="F23" s="197"/>
      <c r="G23" s="197"/>
    </row>
    <row r="24" spans="1:7" ht="15">
      <c r="A24" s="169">
        <v>6400</v>
      </c>
      <c r="B24" s="80" t="s">
        <v>79</v>
      </c>
      <c r="C24" s="198"/>
      <c r="D24" s="117">
        <f>581095+25000</f>
        <v>606095</v>
      </c>
      <c r="E24" s="117">
        <v>9372</v>
      </c>
      <c r="F24" s="199"/>
      <c r="G24" s="199"/>
    </row>
    <row r="25" spans="1:7" ht="30">
      <c r="A25" s="169">
        <v>6500</v>
      </c>
      <c r="B25" s="872" t="s">
        <v>605</v>
      </c>
      <c r="C25" s="198"/>
      <c r="D25" s="117"/>
      <c r="E25" s="117"/>
      <c r="F25" s="221"/>
      <c r="G25" s="221">
        <v>170</v>
      </c>
    </row>
    <row r="26" spans="1:7" ht="15.75" thickBot="1">
      <c r="A26" s="169">
        <v>7200</v>
      </c>
      <c r="B26" s="80" t="s">
        <v>25</v>
      </c>
      <c r="C26" s="147"/>
      <c r="D26" s="117"/>
      <c r="E26" s="220"/>
      <c r="F26" s="200"/>
      <c r="G26" s="201"/>
    </row>
    <row r="27" spans="1:13" ht="15.75" thickBot="1">
      <c r="A27" s="171"/>
      <c r="B27" s="104" t="s">
        <v>26</v>
      </c>
      <c r="C27" s="105">
        <f>SUM(C8+C9+C10+C16+C17+C18+C19+C20+C21+C26)</f>
        <v>1021395</v>
      </c>
      <c r="D27" s="123">
        <f>SUM(D8+D9+D10+D17+D18+D19+D20+D21+D26)</f>
        <v>1078148</v>
      </c>
      <c r="E27" s="123">
        <f>SUM(E8+E9+E10+E17+E18+E19+E20+E21+E26)</f>
        <v>251348</v>
      </c>
      <c r="F27" s="105">
        <f>SUM(F8+F9+F10+F17+F18+F19+F20+F21+F26)</f>
        <v>5956</v>
      </c>
      <c r="G27" s="105">
        <f>SUM(G8+G9+G10+G17+G18+G19+G20+G21+G26)</f>
        <v>171479.3123</v>
      </c>
      <c r="I27" s="642"/>
      <c r="J27" s="639"/>
      <c r="K27" s="639"/>
      <c r="L27" s="639"/>
      <c r="M27" s="639"/>
    </row>
    <row r="28" spans="2:7" ht="15">
      <c r="B28" s="163"/>
      <c r="C28" s="15"/>
      <c r="D28" s="13"/>
      <c r="E28" s="13"/>
      <c r="F28" s="110"/>
      <c r="G28" s="110"/>
    </row>
    <row r="29" spans="2:6" ht="15">
      <c r="B29" s="4"/>
      <c r="D29" s="8"/>
      <c r="E29" s="8"/>
      <c r="F29" s="202" t="s">
        <v>382</v>
      </c>
    </row>
    <row r="30" spans="2:7" ht="15">
      <c r="B30" s="680" t="s">
        <v>406</v>
      </c>
      <c r="D30" s="162"/>
      <c r="E30" s="162"/>
      <c r="F30" s="202" t="s">
        <v>132</v>
      </c>
      <c r="G30" s="6"/>
    </row>
    <row r="31" spans="2:6" ht="15">
      <c r="B31" s="681" t="s">
        <v>273</v>
      </c>
      <c r="C31" s="654"/>
      <c r="D31" s="110"/>
      <c r="E31" s="110"/>
      <c r="F31" s="633">
        <v>800</v>
      </c>
    </row>
    <row r="32" spans="2:6" ht="18.75" customHeight="1">
      <c r="B32" s="681" t="s">
        <v>279</v>
      </c>
      <c r="C32" s="654"/>
      <c r="D32" s="13"/>
      <c r="E32" s="13"/>
      <c r="F32" s="633">
        <v>40649</v>
      </c>
    </row>
    <row r="33" spans="2:6" ht="15">
      <c r="B33" s="885" t="s">
        <v>274</v>
      </c>
      <c r="C33" s="885"/>
      <c r="D33" s="110"/>
      <c r="E33" s="110"/>
      <c r="F33" s="203">
        <v>220</v>
      </c>
    </row>
    <row r="34" spans="2:6" ht="15">
      <c r="B34" s="57" t="s">
        <v>275</v>
      </c>
      <c r="C34" s="655"/>
      <c r="D34" s="3"/>
      <c r="E34" s="3"/>
      <c r="F34" s="280">
        <v>150</v>
      </c>
    </row>
    <row r="35" spans="2:6" ht="15">
      <c r="B35" s="57" t="s">
        <v>280</v>
      </c>
      <c r="C35" s="655"/>
      <c r="D35" s="204"/>
      <c r="E35" s="204"/>
      <c r="F35" s="6">
        <v>150</v>
      </c>
    </row>
    <row r="36" spans="2:6" ht="15">
      <c r="B36" s="57" t="s">
        <v>281</v>
      </c>
      <c r="C36" s="655"/>
      <c r="D36" s="204"/>
      <c r="E36" s="204"/>
      <c r="F36" s="6">
        <v>120</v>
      </c>
    </row>
    <row r="37" spans="2:7" ht="15">
      <c r="B37" s="57" t="s">
        <v>276</v>
      </c>
      <c r="C37" s="655"/>
      <c r="F37" s="6">
        <v>150</v>
      </c>
      <c r="G37" s="203"/>
    </row>
    <row r="38" spans="2:7" ht="15">
      <c r="B38" s="682" t="s">
        <v>158</v>
      </c>
      <c r="C38" s="656"/>
      <c r="D38" s="205"/>
      <c r="E38" s="205"/>
      <c r="F38" s="281">
        <f>SUM(F34:F37)</f>
        <v>570</v>
      </c>
      <c r="G38" s="3"/>
    </row>
    <row r="39" spans="2:7" ht="30">
      <c r="B39" s="206" t="s">
        <v>407</v>
      </c>
      <c r="C39" s="655"/>
      <c r="F39" s="1">
        <v>500</v>
      </c>
      <c r="G39" s="3"/>
    </row>
    <row r="40" spans="1:7" ht="15">
      <c r="A40" s="14"/>
      <c r="B40" s="57" t="s">
        <v>408</v>
      </c>
      <c r="C40" s="656"/>
      <c r="D40" s="3"/>
      <c r="E40" s="3"/>
      <c r="F40" s="6">
        <v>850</v>
      </c>
      <c r="G40" s="3"/>
    </row>
    <row r="41" spans="1:7" ht="30">
      <c r="A41" s="14"/>
      <c r="B41" s="683" t="s">
        <v>365</v>
      </c>
      <c r="C41" s="656"/>
      <c r="D41" s="3"/>
      <c r="E41" s="3"/>
      <c r="F41" s="203">
        <f>SUM(F39:F40)</f>
        <v>1350</v>
      </c>
      <c r="G41" s="3"/>
    </row>
    <row r="42" spans="1:7" ht="28.5" customHeight="1">
      <c r="A42" s="14"/>
      <c r="B42" s="206" t="s">
        <v>277</v>
      </c>
      <c r="C42" s="656"/>
      <c r="D42" s="3"/>
      <c r="E42" s="3"/>
      <c r="F42" s="6">
        <v>400</v>
      </c>
      <c r="G42" s="3"/>
    </row>
    <row r="43" spans="1:7" ht="28.5" customHeight="1">
      <c r="A43" s="14"/>
      <c r="B43" s="206" t="s">
        <v>409</v>
      </c>
      <c r="C43" s="656"/>
      <c r="D43" s="3"/>
      <c r="E43" s="3"/>
      <c r="F43" s="6">
        <v>90</v>
      </c>
      <c r="G43" s="3"/>
    </row>
    <row r="44" spans="1:7" ht="15">
      <c r="A44" s="14"/>
      <c r="B44" s="683" t="s">
        <v>232</v>
      </c>
      <c r="C44" s="656"/>
      <c r="D44" s="3"/>
      <c r="E44" s="3"/>
      <c r="F44" s="203">
        <f>SUM(F42:F43)</f>
        <v>490</v>
      </c>
      <c r="G44" s="3"/>
    </row>
    <row r="45" spans="2:6" ht="15">
      <c r="B45" s="681" t="s">
        <v>410</v>
      </c>
      <c r="C45" s="639"/>
      <c r="F45" s="3">
        <v>500</v>
      </c>
    </row>
    <row r="46" spans="2:6" ht="15">
      <c r="B46" s="873" t="s">
        <v>606</v>
      </c>
      <c r="C46" s="639"/>
      <c r="F46" s="3">
        <v>3300</v>
      </c>
    </row>
    <row r="47" spans="2:6" ht="15">
      <c r="B47" s="111" t="s">
        <v>278</v>
      </c>
      <c r="C47" s="639"/>
      <c r="F47" s="185">
        <f>F31+F32+F33+F38+F41+F44+F45+F46</f>
        <v>47879</v>
      </c>
    </row>
    <row r="49" spans="2:4" ht="15">
      <c r="B49" s="8" t="s">
        <v>157</v>
      </c>
      <c r="C49" s="8"/>
      <c r="D49" s="1" t="s">
        <v>43</v>
      </c>
    </row>
  </sheetData>
  <sheetProtection/>
  <mergeCells count="1">
    <mergeCell ref="B33:C33"/>
  </mergeCells>
  <printOptions/>
  <pageMargins left="0.7479166666666667" right="0.7479166666666667" top="0.5902777777777778" bottom="0.5902777777777778" header="0.5118055555555556" footer="0.5118055555555556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C36" sqref="AC36"/>
    </sheetView>
  </sheetViews>
  <sheetFormatPr defaultColWidth="9.140625" defaultRowHeight="12.75"/>
  <cols>
    <col min="1" max="1" width="5.28125" style="27" customWidth="1"/>
    <col min="2" max="2" width="30.421875" style="27" customWidth="1"/>
    <col min="3" max="3" width="10.140625" style="27" bestFit="1" customWidth="1"/>
    <col min="4" max="4" width="8.57421875" style="27" customWidth="1"/>
    <col min="5" max="5" width="7.7109375" style="27" customWidth="1"/>
    <col min="6" max="9" width="8.421875" style="27" customWidth="1"/>
    <col min="10" max="19" width="9.8515625" style="27" customWidth="1"/>
    <col min="20" max="20" width="7.421875" style="27" customWidth="1"/>
    <col min="21" max="21" width="9.421875" style="27" customWidth="1"/>
    <col min="22" max="22" width="7.8515625" style="27" customWidth="1"/>
    <col min="23" max="23" width="8.140625" style="27" customWidth="1"/>
    <col min="24" max="24" width="7.57421875" style="27" customWidth="1"/>
    <col min="25" max="25" width="8.7109375" style="27" customWidth="1"/>
    <col min="26" max="28" width="8.28125" style="27" customWidth="1"/>
    <col min="29" max="30" width="8.140625" style="27" customWidth="1"/>
    <col min="31" max="31" width="8.28125" style="27" customWidth="1"/>
    <col min="32" max="16384" width="9.140625" style="27" customWidth="1"/>
  </cols>
  <sheetData>
    <row r="1" spans="1:31" ht="15">
      <c r="A1" s="366"/>
      <c r="B1" s="367" t="s">
        <v>0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</row>
    <row r="2" spans="1:31" ht="15">
      <c r="A2" s="369" t="s">
        <v>302</v>
      </c>
      <c r="B2" s="369"/>
      <c r="C2" s="369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</row>
    <row r="3" spans="1:31" ht="15.75" thickBot="1">
      <c r="A3" s="373" t="s">
        <v>498</v>
      </c>
      <c r="B3" s="372"/>
      <c r="C3" s="372"/>
      <c r="D3" s="374"/>
      <c r="E3" s="374"/>
      <c r="F3" s="374"/>
      <c r="G3" s="374"/>
      <c r="H3" s="374"/>
      <c r="I3" s="374"/>
      <c r="J3" s="372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453"/>
      <c r="V3" s="374"/>
      <c r="W3" s="374"/>
      <c r="X3" s="374"/>
      <c r="Y3" s="452"/>
      <c r="Z3" s="452"/>
      <c r="AA3" s="452"/>
      <c r="AB3" s="452"/>
      <c r="AC3" s="452"/>
      <c r="AD3" s="452"/>
      <c r="AE3" s="374"/>
    </row>
    <row r="4" spans="1:31" ht="15.75">
      <c r="A4" s="886" t="s">
        <v>197</v>
      </c>
      <c r="B4" s="887"/>
      <c r="C4" s="375"/>
      <c r="D4" s="376" t="s">
        <v>245</v>
      </c>
      <c r="E4" s="377" t="s">
        <v>246</v>
      </c>
      <c r="F4" s="376" t="s">
        <v>270</v>
      </c>
      <c r="G4" s="376" t="s">
        <v>500</v>
      </c>
      <c r="H4" s="376" t="s">
        <v>501</v>
      </c>
      <c r="I4" s="376" t="s">
        <v>516</v>
      </c>
      <c r="J4" s="377" t="s">
        <v>304</v>
      </c>
      <c r="K4" s="376" t="s">
        <v>502</v>
      </c>
      <c r="L4" s="376" t="s">
        <v>504</v>
      </c>
      <c r="M4" s="376" t="s">
        <v>517</v>
      </c>
      <c r="N4" s="376" t="s">
        <v>518</v>
      </c>
      <c r="O4" s="376" t="s">
        <v>519</v>
      </c>
      <c r="P4" s="376" t="s">
        <v>520</v>
      </c>
      <c r="Q4" s="376" t="s">
        <v>521</v>
      </c>
      <c r="R4" s="376" t="s">
        <v>522</v>
      </c>
      <c r="S4" s="376" t="s">
        <v>523</v>
      </c>
      <c r="T4" s="378" t="s">
        <v>192</v>
      </c>
      <c r="U4" s="379" t="s">
        <v>305</v>
      </c>
      <c r="V4" s="377" t="s">
        <v>101</v>
      </c>
      <c r="W4" s="376" t="s">
        <v>102</v>
      </c>
      <c r="X4" s="379" t="s">
        <v>370</v>
      </c>
      <c r="Y4" s="376" t="s">
        <v>506</v>
      </c>
      <c r="Z4" s="376" t="s">
        <v>507</v>
      </c>
      <c r="AA4" s="376" t="s">
        <v>508</v>
      </c>
      <c r="AB4" s="376" t="s">
        <v>272</v>
      </c>
      <c r="AC4" s="376" t="s">
        <v>303</v>
      </c>
      <c r="AD4" s="376" t="s">
        <v>611</v>
      </c>
      <c r="AE4" s="464" t="s">
        <v>306</v>
      </c>
    </row>
    <row r="5" spans="1:31" ht="403.5" thickBot="1">
      <c r="A5" s="888" t="s">
        <v>8</v>
      </c>
      <c r="B5" s="889"/>
      <c r="C5" s="380" t="s">
        <v>131</v>
      </c>
      <c r="D5" s="751" t="s">
        <v>503</v>
      </c>
      <c r="E5" s="429" t="s">
        <v>133</v>
      </c>
      <c r="F5" s="429" t="s">
        <v>264</v>
      </c>
      <c r="G5" s="735" t="s">
        <v>532</v>
      </c>
      <c r="H5" s="753" t="s">
        <v>555</v>
      </c>
      <c r="I5" s="817" t="s">
        <v>524</v>
      </c>
      <c r="J5" s="753" t="s">
        <v>556</v>
      </c>
      <c r="K5" s="753" t="s">
        <v>557</v>
      </c>
      <c r="L5" s="752" t="s">
        <v>505</v>
      </c>
      <c r="M5" s="816" t="s">
        <v>525</v>
      </c>
      <c r="N5" s="817" t="s">
        <v>526</v>
      </c>
      <c r="O5" s="817" t="s">
        <v>527</v>
      </c>
      <c r="P5" s="817" t="s">
        <v>528</v>
      </c>
      <c r="Q5" s="817" t="s">
        <v>529</v>
      </c>
      <c r="R5" s="817" t="s">
        <v>530</v>
      </c>
      <c r="S5" s="817" t="s">
        <v>531</v>
      </c>
      <c r="T5" s="429" t="s">
        <v>193</v>
      </c>
      <c r="U5" s="454" t="s">
        <v>307</v>
      </c>
      <c r="V5" s="432" t="s">
        <v>271</v>
      </c>
      <c r="W5" s="429" t="s">
        <v>558</v>
      </c>
      <c r="X5" s="763" t="s">
        <v>375</v>
      </c>
      <c r="Y5" s="753" t="s">
        <v>559</v>
      </c>
      <c r="Z5" s="753" t="s">
        <v>560</v>
      </c>
      <c r="AA5" s="762" t="s">
        <v>561</v>
      </c>
      <c r="AB5" s="429" t="s">
        <v>312</v>
      </c>
      <c r="AC5" s="429" t="s">
        <v>554</v>
      </c>
      <c r="AD5" s="646" t="s">
        <v>612</v>
      </c>
      <c r="AE5" s="526" t="s">
        <v>308</v>
      </c>
    </row>
    <row r="6" spans="1:31" ht="15.75" thickBot="1">
      <c r="A6" s="415" t="s">
        <v>7</v>
      </c>
      <c r="B6" s="382"/>
      <c r="C6" s="383" t="s">
        <v>30</v>
      </c>
      <c r="D6" s="384" t="s">
        <v>263</v>
      </c>
      <c r="E6" s="385" t="s">
        <v>263</v>
      </c>
      <c r="F6" s="389" t="s">
        <v>263</v>
      </c>
      <c r="G6" s="390" t="s">
        <v>263</v>
      </c>
      <c r="H6" s="390" t="s">
        <v>263</v>
      </c>
      <c r="I6" s="390" t="s">
        <v>263</v>
      </c>
      <c r="J6" s="389" t="s">
        <v>263</v>
      </c>
      <c r="K6" s="390" t="s">
        <v>263</v>
      </c>
      <c r="L6" s="390" t="s">
        <v>263</v>
      </c>
      <c r="M6" s="390" t="s">
        <v>263</v>
      </c>
      <c r="N6" s="390" t="s">
        <v>263</v>
      </c>
      <c r="O6" s="390" t="s">
        <v>263</v>
      </c>
      <c r="P6" s="390" t="s">
        <v>263</v>
      </c>
      <c r="Q6" s="390" t="s">
        <v>263</v>
      </c>
      <c r="R6" s="390" t="s">
        <v>263</v>
      </c>
      <c r="S6" s="390" t="s">
        <v>263</v>
      </c>
      <c r="T6" s="386" t="s">
        <v>263</v>
      </c>
      <c r="U6" s="430" t="s">
        <v>263</v>
      </c>
      <c r="V6" s="385" t="s">
        <v>263</v>
      </c>
      <c r="W6" s="387" t="s">
        <v>263</v>
      </c>
      <c r="X6" s="387" t="s">
        <v>263</v>
      </c>
      <c r="Y6" s="388" t="s">
        <v>263</v>
      </c>
      <c r="Z6" s="388" t="s">
        <v>263</v>
      </c>
      <c r="AA6" s="388" t="s">
        <v>263</v>
      </c>
      <c r="AB6" s="389" t="s">
        <v>263</v>
      </c>
      <c r="AC6" s="387" t="s">
        <v>263</v>
      </c>
      <c r="AD6" s="387" t="s">
        <v>263</v>
      </c>
      <c r="AE6" s="389" t="s">
        <v>263</v>
      </c>
    </row>
    <row r="7" spans="1:31" ht="15">
      <c r="A7" s="539"/>
      <c r="B7" s="538" t="s">
        <v>221</v>
      </c>
      <c r="C7" s="607">
        <f aca="true" t="shared" si="0" ref="C7:C12">SUM(D7:AE7)</f>
        <v>70520</v>
      </c>
      <c r="D7" s="393"/>
      <c r="E7" s="394"/>
      <c r="F7" s="396"/>
      <c r="G7" s="399"/>
      <c r="H7" s="399"/>
      <c r="I7" s="814"/>
      <c r="J7" s="395"/>
      <c r="K7" s="399"/>
      <c r="L7" s="399"/>
      <c r="M7" s="814"/>
      <c r="N7" s="814"/>
      <c r="O7" s="814"/>
      <c r="P7" s="814"/>
      <c r="Q7" s="814"/>
      <c r="R7" s="814"/>
      <c r="S7" s="814"/>
      <c r="T7" s="396"/>
      <c r="U7" s="400">
        <v>68995</v>
      </c>
      <c r="V7" s="397"/>
      <c r="W7" s="396"/>
      <c r="X7" s="396">
        <v>1525</v>
      </c>
      <c r="Y7" s="398"/>
      <c r="Z7" s="398"/>
      <c r="AA7" s="398"/>
      <c r="AB7" s="398"/>
      <c r="AC7" s="396"/>
      <c r="AD7" s="875"/>
      <c r="AE7" s="527"/>
    </row>
    <row r="8" spans="1:31" ht="15">
      <c r="A8" s="401"/>
      <c r="B8" s="423" t="s">
        <v>309</v>
      </c>
      <c r="C8" s="425">
        <f t="shared" si="0"/>
        <v>2485842</v>
      </c>
      <c r="D8" s="404">
        <v>69650</v>
      </c>
      <c r="E8" s="402">
        <v>5000</v>
      </c>
      <c r="F8" s="402">
        <v>157388</v>
      </c>
      <c r="G8" s="406">
        <v>77500</v>
      </c>
      <c r="H8" s="406">
        <f>87000+11700</f>
        <v>98700</v>
      </c>
      <c r="I8" s="406">
        <v>72455</v>
      </c>
      <c r="J8" s="403">
        <f>12000+71590</f>
        <v>83590</v>
      </c>
      <c r="K8" s="406">
        <f>305734-108952</f>
        <v>196782</v>
      </c>
      <c r="L8" s="406">
        <v>578747</v>
      </c>
      <c r="M8" s="406">
        <v>42132</v>
      </c>
      <c r="N8" s="406">
        <v>117382</v>
      </c>
      <c r="O8" s="406">
        <v>23693</v>
      </c>
      <c r="P8" s="406">
        <v>78657</v>
      </c>
      <c r="Q8" s="406">
        <v>37420</v>
      </c>
      <c r="R8" s="406">
        <v>100851</v>
      </c>
      <c r="S8" s="406">
        <v>84429</v>
      </c>
      <c r="T8" s="402">
        <v>19360</v>
      </c>
      <c r="U8" s="406">
        <f>172028+9989</f>
        <v>182017</v>
      </c>
      <c r="V8" s="489">
        <f>43600-20360</f>
        <v>23240</v>
      </c>
      <c r="W8" s="404">
        <f>5000+8418</f>
        <v>13418</v>
      </c>
      <c r="X8" s="404">
        <v>847</v>
      </c>
      <c r="Y8" s="402">
        <f>203440+16733</f>
        <v>220173</v>
      </c>
      <c r="Z8" s="402">
        <v>56000</v>
      </c>
      <c r="AA8" s="402">
        <v>39000</v>
      </c>
      <c r="AB8" s="402">
        <f>20000</f>
        <v>20000</v>
      </c>
      <c r="AC8" s="404">
        <f>15000+1163</f>
        <v>16163</v>
      </c>
      <c r="AD8" s="876">
        <v>56248</v>
      </c>
      <c r="AE8" s="528">
        <v>15000</v>
      </c>
    </row>
    <row r="9" spans="1:31" ht="15">
      <c r="A9" s="401"/>
      <c r="B9" s="423" t="s">
        <v>69</v>
      </c>
      <c r="C9" s="425">
        <f t="shared" si="0"/>
        <v>6098</v>
      </c>
      <c r="D9" s="404"/>
      <c r="E9" s="404"/>
      <c r="F9" s="404"/>
      <c r="G9" s="651"/>
      <c r="H9" s="651"/>
      <c r="I9" s="651"/>
      <c r="J9" s="472"/>
      <c r="K9" s="651"/>
      <c r="L9" s="651"/>
      <c r="M9" s="651"/>
      <c r="N9" s="651"/>
      <c r="O9" s="651"/>
      <c r="P9" s="651"/>
      <c r="Q9" s="651"/>
      <c r="R9" s="651"/>
      <c r="S9" s="651"/>
      <c r="T9" s="404"/>
      <c r="U9" s="406"/>
      <c r="V9" s="403"/>
      <c r="W9" s="404"/>
      <c r="X9" s="404">
        <v>6098</v>
      </c>
      <c r="Y9" s="404"/>
      <c r="Z9" s="404"/>
      <c r="AA9" s="404"/>
      <c r="AB9" s="404"/>
      <c r="AC9" s="404"/>
      <c r="AD9" s="876"/>
      <c r="AE9" s="529"/>
    </row>
    <row r="10" spans="1:31" ht="15">
      <c r="A10" s="401"/>
      <c r="B10" s="423" t="s">
        <v>310</v>
      </c>
      <c r="C10" s="425">
        <f t="shared" si="0"/>
        <v>1254680</v>
      </c>
      <c r="D10" s="404"/>
      <c r="E10" s="404"/>
      <c r="F10" s="404"/>
      <c r="G10" s="404"/>
      <c r="H10" s="404"/>
      <c r="I10" s="404">
        <v>89843</v>
      </c>
      <c r="J10" s="403">
        <v>81000</v>
      </c>
      <c r="K10" s="404">
        <v>367859</v>
      </c>
      <c r="L10" s="404"/>
      <c r="M10" s="404">
        <v>72314</v>
      </c>
      <c r="N10" s="404">
        <v>156326</v>
      </c>
      <c r="O10" s="404"/>
      <c r="P10" s="404">
        <v>193848</v>
      </c>
      <c r="Q10" s="404">
        <v>71001</v>
      </c>
      <c r="R10" s="404">
        <v>222489</v>
      </c>
      <c r="S10" s="404"/>
      <c r="T10" s="404"/>
      <c r="U10" s="404"/>
      <c r="V10" s="407"/>
      <c r="W10" s="404"/>
      <c r="X10" s="404"/>
      <c r="Y10" s="404"/>
      <c r="Z10" s="404"/>
      <c r="AA10" s="404"/>
      <c r="AB10" s="404"/>
      <c r="AC10" s="404"/>
      <c r="AD10" s="876"/>
      <c r="AE10" s="529"/>
    </row>
    <row r="11" spans="1:31" ht="15">
      <c r="A11" s="401"/>
      <c r="B11" s="431" t="s">
        <v>311</v>
      </c>
      <c r="C11" s="425">
        <f t="shared" si="0"/>
        <v>0</v>
      </c>
      <c r="D11" s="404"/>
      <c r="E11" s="404"/>
      <c r="F11" s="404"/>
      <c r="G11" s="406"/>
      <c r="H11" s="406"/>
      <c r="I11" s="406"/>
      <c r="J11" s="471"/>
      <c r="K11" s="404"/>
      <c r="L11" s="404"/>
      <c r="M11" s="406"/>
      <c r="N11" s="406"/>
      <c r="O11" s="406"/>
      <c r="P11" s="406"/>
      <c r="Q11" s="406"/>
      <c r="R11" s="406"/>
      <c r="S11" s="406"/>
      <c r="T11" s="404"/>
      <c r="U11" s="406"/>
      <c r="V11" s="403"/>
      <c r="W11" s="404"/>
      <c r="X11" s="404"/>
      <c r="Y11" s="402"/>
      <c r="Z11" s="402"/>
      <c r="AA11" s="402"/>
      <c r="AB11" s="402"/>
      <c r="AC11" s="404"/>
      <c r="AD11" s="876"/>
      <c r="AE11" s="528"/>
    </row>
    <row r="12" spans="1:31" ht="15.75" thickBot="1">
      <c r="A12" s="409"/>
      <c r="B12" s="431" t="s">
        <v>9</v>
      </c>
      <c r="C12" s="425">
        <f t="shared" si="0"/>
        <v>0</v>
      </c>
      <c r="D12" s="410"/>
      <c r="E12" s="410"/>
      <c r="F12" s="410"/>
      <c r="G12" s="329"/>
      <c r="H12" s="329"/>
      <c r="I12" s="815"/>
      <c r="J12" s="411"/>
      <c r="K12" s="329"/>
      <c r="L12" s="329"/>
      <c r="M12" s="815"/>
      <c r="N12" s="815"/>
      <c r="O12" s="815"/>
      <c r="P12" s="815"/>
      <c r="Q12" s="815"/>
      <c r="R12" s="815"/>
      <c r="S12" s="815"/>
      <c r="T12" s="410"/>
      <c r="U12" s="406"/>
      <c r="V12" s="412"/>
      <c r="W12" s="410"/>
      <c r="X12" s="410"/>
      <c r="Y12" s="414"/>
      <c r="Z12" s="414"/>
      <c r="AA12" s="414"/>
      <c r="AB12" s="414"/>
      <c r="AC12" s="410"/>
      <c r="AD12" s="877"/>
      <c r="AE12" s="530"/>
    </row>
    <row r="13" spans="1:31" ht="15.75" thickBot="1">
      <c r="A13" s="415"/>
      <c r="B13" s="416" t="s">
        <v>41</v>
      </c>
      <c r="C13" s="437">
        <f>SUM(C8:C12)</f>
        <v>3746620</v>
      </c>
      <c r="D13" s="433">
        <f>SUM(D8:D12)</f>
        <v>69650</v>
      </c>
      <c r="E13" s="433">
        <f>SUM(E8:E12)</f>
        <v>5000</v>
      </c>
      <c r="F13" s="433">
        <f>SUM(F8:F12)</f>
        <v>157388</v>
      </c>
      <c r="G13" s="433">
        <f>SUM(G8:G12)</f>
        <v>77500</v>
      </c>
      <c r="H13" s="433">
        <f>SUM(H8:H12)</f>
        <v>98700</v>
      </c>
      <c r="I13" s="433">
        <f>SUM(I8:I12)</f>
        <v>162298</v>
      </c>
      <c r="J13" s="433">
        <f>SUM(J8:J12)</f>
        <v>164590</v>
      </c>
      <c r="K13" s="433">
        <f>SUM(K8:K12)</f>
        <v>564641</v>
      </c>
      <c r="L13" s="433">
        <f>SUM(L8:L12)</f>
        <v>578747</v>
      </c>
      <c r="M13" s="433">
        <f aca="true" t="shared" si="1" ref="M13:S13">SUM(M8:M12)</f>
        <v>114446</v>
      </c>
      <c r="N13" s="433">
        <f t="shared" si="1"/>
        <v>273708</v>
      </c>
      <c r="O13" s="433">
        <f t="shared" si="1"/>
        <v>23693</v>
      </c>
      <c r="P13" s="433">
        <f t="shared" si="1"/>
        <v>272505</v>
      </c>
      <c r="Q13" s="433">
        <f t="shared" si="1"/>
        <v>108421</v>
      </c>
      <c r="R13" s="433">
        <f t="shared" si="1"/>
        <v>323340</v>
      </c>
      <c r="S13" s="433">
        <f t="shared" si="1"/>
        <v>84429</v>
      </c>
      <c r="T13" s="433">
        <f>SUM(T8:T12)</f>
        <v>19360</v>
      </c>
      <c r="U13" s="433">
        <f>SUM(U8:U12)</f>
        <v>182017</v>
      </c>
      <c r="V13" s="434">
        <f>SUM(V8:V12)</f>
        <v>23240</v>
      </c>
      <c r="W13" s="433">
        <f>SUM(W8:W12)</f>
        <v>13418</v>
      </c>
      <c r="X13" s="433">
        <f>SUM(X8:X12)</f>
        <v>6945</v>
      </c>
      <c r="Y13" s="433">
        <f aca="true" t="shared" si="2" ref="Y13:AD13">SUM(Y8:Y12)</f>
        <v>220173</v>
      </c>
      <c r="Z13" s="433">
        <f t="shared" si="2"/>
        <v>56000</v>
      </c>
      <c r="AA13" s="433">
        <f t="shared" si="2"/>
        <v>39000</v>
      </c>
      <c r="AB13" s="433">
        <f t="shared" si="2"/>
        <v>20000</v>
      </c>
      <c r="AC13" s="433">
        <f t="shared" si="2"/>
        <v>16163</v>
      </c>
      <c r="AD13" s="433">
        <f t="shared" si="2"/>
        <v>56248</v>
      </c>
      <c r="AE13" s="531">
        <f>SUM(AE8:AE12)</f>
        <v>15000</v>
      </c>
    </row>
    <row r="14" spans="1:31" ht="15.75" thickBot="1">
      <c r="A14" s="417"/>
      <c r="B14" s="418" t="s">
        <v>223</v>
      </c>
      <c r="C14" s="419">
        <f>SUM(C7+C13)</f>
        <v>3817140</v>
      </c>
      <c r="D14" s="435">
        <f>SUM(D7+D13)</f>
        <v>69650</v>
      </c>
      <c r="E14" s="435">
        <f>SUM(E7+E13)</f>
        <v>5000</v>
      </c>
      <c r="F14" s="435">
        <f>SUM(F7+F13)</f>
        <v>157388</v>
      </c>
      <c r="G14" s="435">
        <f>SUM(G7+G13)</f>
        <v>77500</v>
      </c>
      <c r="H14" s="435">
        <f>SUM(H7+H13)</f>
        <v>98700</v>
      </c>
      <c r="I14" s="435">
        <f>SUM(I7+I13)</f>
        <v>162298</v>
      </c>
      <c r="J14" s="435">
        <f>SUM(J7+J13)</f>
        <v>164590</v>
      </c>
      <c r="K14" s="435">
        <f>SUM(K7+K13)</f>
        <v>564641</v>
      </c>
      <c r="L14" s="435">
        <f>SUM(L7+L13)</f>
        <v>578747</v>
      </c>
      <c r="M14" s="435">
        <f aca="true" t="shared" si="3" ref="M14:S14">SUM(M7+M13)</f>
        <v>114446</v>
      </c>
      <c r="N14" s="435">
        <f t="shared" si="3"/>
        <v>273708</v>
      </c>
      <c r="O14" s="435">
        <f t="shared" si="3"/>
        <v>23693</v>
      </c>
      <c r="P14" s="435">
        <f t="shared" si="3"/>
        <v>272505</v>
      </c>
      <c r="Q14" s="435">
        <f t="shared" si="3"/>
        <v>108421</v>
      </c>
      <c r="R14" s="435">
        <f t="shared" si="3"/>
        <v>323340</v>
      </c>
      <c r="S14" s="435">
        <f t="shared" si="3"/>
        <v>84429</v>
      </c>
      <c r="T14" s="435">
        <f>SUM(T7+T13)</f>
        <v>19360</v>
      </c>
      <c r="U14" s="435">
        <f>SUM(U7+U13)</f>
        <v>251012</v>
      </c>
      <c r="V14" s="436">
        <f>SUM(V7+V13)</f>
        <v>23240</v>
      </c>
      <c r="W14" s="435">
        <f>SUM(W7+W13)</f>
        <v>13418</v>
      </c>
      <c r="X14" s="435">
        <f>SUM(X7+X13)</f>
        <v>8470</v>
      </c>
      <c r="Y14" s="435">
        <f aca="true" t="shared" si="4" ref="Y14:AD14">SUM(Y7+Y13)</f>
        <v>220173</v>
      </c>
      <c r="Z14" s="435">
        <f t="shared" si="4"/>
        <v>56000</v>
      </c>
      <c r="AA14" s="435">
        <f t="shared" si="4"/>
        <v>39000</v>
      </c>
      <c r="AB14" s="435">
        <f t="shared" si="4"/>
        <v>20000</v>
      </c>
      <c r="AC14" s="435">
        <f t="shared" si="4"/>
        <v>16163</v>
      </c>
      <c r="AD14" s="435">
        <f t="shared" si="4"/>
        <v>56248</v>
      </c>
      <c r="AE14" s="532">
        <f>SUM(AE7+AE13)</f>
        <v>15000</v>
      </c>
    </row>
    <row r="15" spans="1:31" ht="15.75" thickBot="1">
      <c r="A15" s="522"/>
      <c r="B15" s="420"/>
      <c r="C15" s="533"/>
      <c r="D15" s="533"/>
      <c r="E15" s="533"/>
      <c r="F15" s="533"/>
      <c r="G15" s="534"/>
      <c r="H15" s="420"/>
      <c r="I15" s="420"/>
      <c r="J15" s="533"/>
      <c r="K15" s="534"/>
      <c r="L15" s="534"/>
      <c r="M15" s="534"/>
      <c r="N15" s="534"/>
      <c r="O15" s="534"/>
      <c r="P15" s="534"/>
      <c r="Q15" s="534"/>
      <c r="R15" s="534"/>
      <c r="S15" s="534"/>
      <c r="T15" s="533"/>
      <c r="U15" s="391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</row>
    <row r="16" spans="1:31" ht="19.5" thickBot="1">
      <c r="A16" s="381" t="s">
        <v>7</v>
      </c>
      <c r="B16" s="422" t="s">
        <v>10</v>
      </c>
      <c r="C16" s="383" t="s">
        <v>36</v>
      </c>
      <c r="D16" s="384" t="s">
        <v>263</v>
      </c>
      <c r="E16" s="384" t="s">
        <v>263</v>
      </c>
      <c r="F16" s="384" t="s">
        <v>263</v>
      </c>
      <c r="G16" s="388" t="s">
        <v>263</v>
      </c>
      <c r="H16" s="384" t="s">
        <v>263</v>
      </c>
      <c r="I16" s="384" t="s">
        <v>263</v>
      </c>
      <c r="J16" s="384" t="s">
        <v>263</v>
      </c>
      <c r="K16" s="388" t="s">
        <v>263</v>
      </c>
      <c r="L16" s="388" t="s">
        <v>263</v>
      </c>
      <c r="M16" s="388" t="s">
        <v>263</v>
      </c>
      <c r="N16" s="388" t="s">
        <v>263</v>
      </c>
      <c r="O16" s="388" t="s">
        <v>263</v>
      </c>
      <c r="P16" s="388" t="s">
        <v>263</v>
      </c>
      <c r="Q16" s="388" t="s">
        <v>263</v>
      </c>
      <c r="R16" s="388" t="s">
        <v>263</v>
      </c>
      <c r="S16" s="388" t="s">
        <v>263</v>
      </c>
      <c r="T16" s="384" t="s">
        <v>263</v>
      </c>
      <c r="U16" s="384" t="s">
        <v>263</v>
      </c>
      <c r="V16" s="385" t="s">
        <v>263</v>
      </c>
      <c r="W16" s="384" t="s">
        <v>263</v>
      </c>
      <c r="X16" s="384" t="s">
        <v>263</v>
      </c>
      <c r="Y16" s="384" t="s">
        <v>263</v>
      </c>
      <c r="Z16" s="384" t="s">
        <v>263</v>
      </c>
      <c r="AA16" s="384" t="s">
        <v>263</v>
      </c>
      <c r="AB16" s="384" t="s">
        <v>263</v>
      </c>
      <c r="AC16" s="384" t="s">
        <v>263</v>
      </c>
      <c r="AD16" s="384" t="s">
        <v>263</v>
      </c>
      <c r="AE16" s="389" t="s">
        <v>263</v>
      </c>
    </row>
    <row r="17" spans="1:31" ht="15">
      <c r="A17" s="441">
        <v>1100</v>
      </c>
      <c r="B17" s="442" t="s">
        <v>11</v>
      </c>
      <c r="C17" s="425">
        <f>SUM(D17:AE17)</f>
        <v>0</v>
      </c>
      <c r="D17" s="448"/>
      <c r="E17" s="448"/>
      <c r="F17" s="759"/>
      <c r="G17" s="449"/>
      <c r="H17" s="448"/>
      <c r="I17" s="448"/>
      <c r="J17" s="448"/>
      <c r="K17" s="449"/>
      <c r="L17" s="449"/>
      <c r="M17" s="449"/>
      <c r="N17" s="449"/>
      <c r="O17" s="449"/>
      <c r="P17" s="449"/>
      <c r="Q17" s="449"/>
      <c r="R17" s="449"/>
      <c r="S17" s="449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759"/>
      <c r="AE17" s="535"/>
    </row>
    <row r="18" spans="1:31" ht="60">
      <c r="A18" s="443">
        <v>1200</v>
      </c>
      <c r="B18" s="426" t="s">
        <v>12</v>
      </c>
      <c r="C18" s="425">
        <f>SUM(D18:AE18)</f>
        <v>0</v>
      </c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878"/>
      <c r="AE18" s="536"/>
    </row>
    <row r="19" spans="1:31" ht="15">
      <c r="A19" s="443">
        <v>2000</v>
      </c>
      <c r="B19" s="423" t="s">
        <v>13</v>
      </c>
      <c r="C19" s="425">
        <f>SUM(C20+C21+C22+C23+C24)</f>
        <v>212816</v>
      </c>
      <c r="D19" s="756">
        <f>SUM(D20+D21+D22+D23+D24)</f>
        <v>41250</v>
      </c>
      <c r="E19" s="756">
        <f>SUM(E20+E21+E22+E23+E24)</f>
        <v>5000</v>
      </c>
      <c r="F19" s="756">
        <f>SUM(F20+F21+F22+F23+F24)</f>
        <v>125888</v>
      </c>
      <c r="G19" s="756">
        <f>SUM(G20+G21+G22+G23+G24)</f>
        <v>0</v>
      </c>
      <c r="H19" s="756">
        <f>SUM(H20+H21+H22+H23+H24)</f>
        <v>0</v>
      </c>
      <c r="I19" s="756">
        <f>SUM(I20+I21+I22+I23+I24)</f>
        <v>0</v>
      </c>
      <c r="J19" s="756">
        <f aca="true" t="shared" si="5" ref="J19:S19">SUM(J20+J21+J22+J23+J24)</f>
        <v>0</v>
      </c>
      <c r="K19" s="756">
        <f t="shared" si="5"/>
        <v>0</v>
      </c>
      <c r="L19" s="756">
        <f t="shared" si="5"/>
        <v>0</v>
      </c>
      <c r="M19" s="756">
        <f t="shared" si="5"/>
        <v>0</v>
      </c>
      <c r="N19" s="756">
        <f t="shared" si="5"/>
        <v>0</v>
      </c>
      <c r="O19" s="756">
        <f t="shared" si="5"/>
        <v>0</v>
      </c>
      <c r="P19" s="756">
        <f t="shared" si="5"/>
        <v>0</v>
      </c>
      <c r="Q19" s="756">
        <f t="shared" si="5"/>
        <v>0</v>
      </c>
      <c r="R19" s="756">
        <f t="shared" si="5"/>
        <v>0</v>
      </c>
      <c r="S19" s="756">
        <f t="shared" si="5"/>
        <v>0</v>
      </c>
      <c r="T19" s="756">
        <f>SUM(T20+T21+T22+T23+T24)</f>
        <v>19360</v>
      </c>
      <c r="U19" s="756">
        <f>SUM(U20+U21+U22+U23+U24)</f>
        <v>0</v>
      </c>
      <c r="V19" s="756">
        <f>SUM(V20+V21+V22+V23+V24)</f>
        <v>11880</v>
      </c>
      <c r="W19" s="756">
        <f>SUM(W20+W21+W22+W23+W24)</f>
        <v>0</v>
      </c>
      <c r="X19" s="756">
        <f>SUM(X20+X21+X22+X23+X24)</f>
        <v>8470</v>
      </c>
      <c r="Y19" s="756">
        <f>SUM(Y20+Y21+Y22+Y23+Y24)</f>
        <v>968</v>
      </c>
      <c r="Z19" s="756">
        <f>SUM(Z20+Z21+Z22+Z23+Z24)</f>
        <v>0</v>
      </c>
      <c r="AA19" s="756">
        <f>SUM(AA20+AA21+AA22+AA23+AA24)</f>
        <v>0</v>
      </c>
      <c r="AB19" s="756">
        <f>SUM(AB20+AB21+AB22+AB23+AB24)</f>
        <v>0</v>
      </c>
      <c r="AC19" s="756">
        <f>SUM(AC20+AC21+AC22+AC23+AC24)</f>
        <v>0</v>
      </c>
      <c r="AD19" s="756">
        <f>SUM(AD20+AD21+AD22+AD23+AD24)</f>
        <v>0</v>
      </c>
      <c r="AE19" s="760">
        <f>SUM(AE20+AE21+AE22+AE23+AE24)</f>
        <v>0</v>
      </c>
    </row>
    <row r="20" spans="1:31" ht="15">
      <c r="A20" s="443">
        <v>2100</v>
      </c>
      <c r="B20" s="423" t="s">
        <v>14</v>
      </c>
      <c r="C20" s="425">
        <f aca="true" t="shared" si="6" ref="C20:C32">SUM(D20:AE20)</f>
        <v>0</v>
      </c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878"/>
      <c r="AE20" s="536"/>
    </row>
    <row r="21" spans="1:31" ht="15">
      <c r="A21" s="443">
        <v>2200</v>
      </c>
      <c r="B21" s="423" t="s">
        <v>15</v>
      </c>
      <c r="C21" s="425">
        <f t="shared" si="6"/>
        <v>179177</v>
      </c>
      <c r="D21" s="755">
        <f>44850-4300</f>
        <v>40550</v>
      </c>
      <c r="E21" s="402">
        <v>5000</v>
      </c>
      <c r="F21" s="402">
        <v>101746</v>
      </c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>
        <v>19360</v>
      </c>
      <c r="U21" s="402"/>
      <c r="V21" s="402">
        <f>10700-7617</f>
        <v>3083</v>
      </c>
      <c r="W21" s="402"/>
      <c r="X21" s="402">
        <v>8470</v>
      </c>
      <c r="Y21" s="402">
        <v>968</v>
      </c>
      <c r="Z21" s="402"/>
      <c r="AA21" s="402"/>
      <c r="AB21" s="402"/>
      <c r="AC21" s="402"/>
      <c r="AD21" s="879"/>
      <c r="AE21" s="528"/>
    </row>
    <row r="22" spans="1:31" ht="15">
      <c r="A22" s="443">
        <v>2300</v>
      </c>
      <c r="B22" s="423" t="s">
        <v>16</v>
      </c>
      <c r="C22" s="425">
        <f t="shared" si="6"/>
        <v>33639</v>
      </c>
      <c r="D22" s="402">
        <f>400+300</f>
        <v>700</v>
      </c>
      <c r="E22" s="402"/>
      <c r="F22" s="402">
        <v>24142</v>
      </c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>
        <f>18040-9243</f>
        <v>8797</v>
      </c>
      <c r="W22" s="402"/>
      <c r="X22" s="402"/>
      <c r="Y22" s="402"/>
      <c r="Z22" s="402"/>
      <c r="AA22" s="402"/>
      <c r="AB22" s="402"/>
      <c r="AC22" s="402"/>
      <c r="AD22" s="879"/>
      <c r="AE22" s="528"/>
    </row>
    <row r="23" spans="1:31" ht="15">
      <c r="A23" s="443">
        <v>2400</v>
      </c>
      <c r="B23" s="423" t="s">
        <v>224</v>
      </c>
      <c r="C23" s="425">
        <f t="shared" si="6"/>
        <v>0</v>
      </c>
      <c r="D23" s="402"/>
      <c r="E23" s="402"/>
      <c r="F23" s="402"/>
      <c r="G23" s="402"/>
      <c r="H23" s="402"/>
      <c r="I23" s="402"/>
      <c r="J23" s="424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6"/>
      <c r="V23" s="403"/>
      <c r="W23" s="402"/>
      <c r="X23" s="402"/>
      <c r="Y23" s="402"/>
      <c r="Z23" s="402"/>
      <c r="AA23" s="402"/>
      <c r="AB23" s="402"/>
      <c r="AC23" s="402"/>
      <c r="AD23" s="879"/>
      <c r="AE23" s="528"/>
    </row>
    <row r="24" spans="1:31" ht="15">
      <c r="A24" s="443">
        <v>2500</v>
      </c>
      <c r="B24" s="423" t="s">
        <v>17</v>
      </c>
      <c r="C24" s="425">
        <f t="shared" si="6"/>
        <v>0</v>
      </c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879"/>
      <c r="AE24" s="528"/>
    </row>
    <row r="25" spans="1:31" ht="15">
      <c r="A25" s="443">
        <v>3200</v>
      </c>
      <c r="B25" s="423" t="s">
        <v>225</v>
      </c>
      <c r="C25" s="425">
        <f t="shared" si="6"/>
        <v>79081</v>
      </c>
      <c r="D25" s="754">
        <v>6000</v>
      </c>
      <c r="E25" s="754"/>
      <c r="F25" s="754"/>
      <c r="G25" s="754"/>
      <c r="H25" s="754"/>
      <c r="I25" s="754"/>
      <c r="J25" s="757"/>
      <c r="K25" s="754"/>
      <c r="L25" s="754"/>
      <c r="M25" s="754"/>
      <c r="N25" s="754"/>
      <c r="O25" s="754"/>
      <c r="P25" s="754"/>
      <c r="Q25" s="754"/>
      <c r="R25" s="754"/>
      <c r="S25" s="754"/>
      <c r="T25" s="754"/>
      <c r="U25" s="493"/>
      <c r="V25" s="758">
        <f>12000-3500</f>
        <v>8500</v>
      </c>
      <c r="W25" s="754">
        <f>5000+8418</f>
        <v>13418</v>
      </c>
      <c r="X25" s="402"/>
      <c r="Y25" s="402"/>
      <c r="Z25" s="402"/>
      <c r="AA25" s="402"/>
      <c r="AB25" s="754">
        <f>20000</f>
        <v>20000</v>
      </c>
      <c r="AC25" s="754">
        <f>15000+1163</f>
        <v>16163</v>
      </c>
      <c r="AD25" s="880"/>
      <c r="AE25" s="761">
        <v>15000</v>
      </c>
    </row>
    <row r="26" spans="1:31" ht="15">
      <c r="A26" s="443">
        <v>4300</v>
      </c>
      <c r="B26" s="423" t="s">
        <v>21</v>
      </c>
      <c r="C26" s="425">
        <f t="shared" si="6"/>
        <v>0</v>
      </c>
      <c r="D26" s="402"/>
      <c r="E26" s="402"/>
      <c r="F26" s="402"/>
      <c r="G26" s="402"/>
      <c r="H26" s="402"/>
      <c r="I26" s="402"/>
      <c r="J26" s="424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6"/>
      <c r="V26" s="403"/>
      <c r="W26" s="402"/>
      <c r="X26" s="402"/>
      <c r="Y26" s="402"/>
      <c r="Z26" s="402"/>
      <c r="AA26" s="402"/>
      <c r="AB26" s="402"/>
      <c r="AC26" s="402"/>
      <c r="AD26" s="879"/>
      <c r="AE26" s="528"/>
    </row>
    <row r="27" spans="1:31" ht="15">
      <c r="A27" s="443">
        <v>5100</v>
      </c>
      <c r="B27" s="423" t="s">
        <v>22</v>
      </c>
      <c r="C27" s="425">
        <f t="shared" si="6"/>
        <v>0</v>
      </c>
      <c r="D27" s="402"/>
      <c r="E27" s="402"/>
      <c r="F27" s="402"/>
      <c r="G27" s="402"/>
      <c r="H27" s="402"/>
      <c r="I27" s="402"/>
      <c r="J27" s="424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6"/>
      <c r="V27" s="403"/>
      <c r="W27" s="402"/>
      <c r="X27" s="402"/>
      <c r="Y27" s="402"/>
      <c r="Z27" s="402"/>
      <c r="AA27" s="402"/>
      <c r="AB27" s="402"/>
      <c r="AC27" s="402"/>
      <c r="AD27" s="879"/>
      <c r="AE27" s="528"/>
    </row>
    <row r="28" spans="1:31" ht="15">
      <c r="A28" s="443">
        <v>5200</v>
      </c>
      <c r="B28" s="423" t="s">
        <v>23</v>
      </c>
      <c r="C28" s="425">
        <f t="shared" si="6"/>
        <v>3525243</v>
      </c>
      <c r="D28" s="754">
        <f>18400+4000</f>
        <v>22400</v>
      </c>
      <c r="E28" s="402"/>
      <c r="F28" s="754">
        <v>31500</v>
      </c>
      <c r="G28" s="754">
        <v>77500</v>
      </c>
      <c r="H28" s="754">
        <f>87000+11700</f>
        <v>98700</v>
      </c>
      <c r="I28" s="754">
        <v>162298</v>
      </c>
      <c r="J28" s="754">
        <f>12000+152590</f>
        <v>164590</v>
      </c>
      <c r="K28" s="754">
        <f>305734+258907</f>
        <v>564641</v>
      </c>
      <c r="L28" s="754">
        <v>578747</v>
      </c>
      <c r="M28" s="754">
        <v>114446</v>
      </c>
      <c r="N28" s="754">
        <v>273708</v>
      </c>
      <c r="O28" s="754">
        <v>23693</v>
      </c>
      <c r="P28" s="754">
        <v>272505</v>
      </c>
      <c r="Q28" s="754">
        <v>108421</v>
      </c>
      <c r="R28" s="754">
        <v>323340</v>
      </c>
      <c r="S28" s="754">
        <v>84429</v>
      </c>
      <c r="T28" s="754"/>
      <c r="U28" s="754">
        <f>241023+9989</f>
        <v>251012</v>
      </c>
      <c r="V28" s="754">
        <v>2860</v>
      </c>
      <c r="W28" s="402"/>
      <c r="X28" s="402"/>
      <c r="Y28" s="754">
        <f>203440+15765</f>
        <v>219205</v>
      </c>
      <c r="Z28" s="754">
        <v>56000</v>
      </c>
      <c r="AA28" s="754">
        <v>39000</v>
      </c>
      <c r="AB28" s="402"/>
      <c r="AC28" s="402"/>
      <c r="AD28" s="879">
        <v>56248</v>
      </c>
      <c r="AE28" s="528"/>
    </row>
    <row r="29" spans="1:31" ht="15">
      <c r="A29" s="443">
        <v>6200</v>
      </c>
      <c r="B29" s="444" t="s">
        <v>24</v>
      </c>
      <c r="C29" s="425">
        <f t="shared" si="6"/>
        <v>0</v>
      </c>
      <c r="D29" s="402"/>
      <c r="E29" s="402"/>
      <c r="F29" s="402"/>
      <c r="G29" s="402"/>
      <c r="H29" s="402"/>
      <c r="I29" s="402"/>
      <c r="J29" s="424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6"/>
      <c r="V29" s="403"/>
      <c r="W29" s="402"/>
      <c r="X29" s="402"/>
      <c r="Y29" s="402"/>
      <c r="Z29" s="402"/>
      <c r="AA29" s="402"/>
      <c r="AB29" s="402"/>
      <c r="AC29" s="402"/>
      <c r="AD29" s="879"/>
      <c r="AE29" s="528"/>
    </row>
    <row r="30" spans="1:31" ht="15">
      <c r="A30" s="445">
        <v>7240</v>
      </c>
      <c r="B30" s="446" t="s">
        <v>226</v>
      </c>
      <c r="C30" s="425">
        <f t="shared" si="6"/>
        <v>0</v>
      </c>
      <c r="D30" s="413"/>
      <c r="E30" s="413"/>
      <c r="F30" s="413"/>
      <c r="G30" s="413"/>
      <c r="H30" s="413"/>
      <c r="I30" s="413"/>
      <c r="J30" s="411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06"/>
      <c r="V30" s="412"/>
      <c r="W30" s="413"/>
      <c r="X30" s="413"/>
      <c r="Y30" s="413"/>
      <c r="Z30" s="413"/>
      <c r="AA30" s="413"/>
      <c r="AB30" s="413"/>
      <c r="AC30" s="413"/>
      <c r="AD30" s="881"/>
      <c r="AE30" s="530"/>
    </row>
    <row r="31" spans="1:31" ht="15">
      <c r="A31" s="445">
        <v>7700</v>
      </c>
      <c r="B31" s="446" t="s">
        <v>134</v>
      </c>
      <c r="C31" s="425">
        <f t="shared" si="6"/>
        <v>0</v>
      </c>
      <c r="D31" s="413"/>
      <c r="E31" s="413"/>
      <c r="F31" s="413"/>
      <c r="G31" s="413"/>
      <c r="H31" s="413"/>
      <c r="I31" s="413"/>
      <c r="J31" s="411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06"/>
      <c r="V31" s="412"/>
      <c r="W31" s="413"/>
      <c r="X31" s="413"/>
      <c r="Y31" s="413"/>
      <c r="Z31" s="413"/>
      <c r="AA31" s="413"/>
      <c r="AB31" s="413"/>
      <c r="AC31" s="413"/>
      <c r="AD31" s="881"/>
      <c r="AE31" s="530"/>
    </row>
    <row r="32" spans="1:31" ht="15.75" thickBot="1">
      <c r="A32" s="445">
        <v>9261</v>
      </c>
      <c r="B32" s="447" t="s">
        <v>126</v>
      </c>
      <c r="C32" s="425">
        <f t="shared" si="6"/>
        <v>0</v>
      </c>
      <c r="D32" s="413"/>
      <c r="E32" s="413"/>
      <c r="F32" s="413"/>
      <c r="G32" s="413"/>
      <c r="H32" s="413"/>
      <c r="I32" s="413"/>
      <c r="J32" s="411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06"/>
      <c r="V32" s="412"/>
      <c r="W32" s="413"/>
      <c r="X32" s="413"/>
      <c r="Y32" s="413"/>
      <c r="Z32" s="413"/>
      <c r="AA32" s="413"/>
      <c r="AB32" s="413"/>
      <c r="AC32" s="413"/>
      <c r="AD32" s="881"/>
      <c r="AE32" s="530"/>
    </row>
    <row r="33" spans="1:31" ht="15" thickBot="1">
      <c r="A33" s="381"/>
      <c r="B33" s="416" t="s">
        <v>26</v>
      </c>
      <c r="C33" s="437">
        <f>SUM(C17+C18+C19+C25+C26+C27+C28+C29+C30+C31+C32)</f>
        <v>3817140</v>
      </c>
      <c r="D33" s="437">
        <f>SUM(D17+D18+D19+D25+D26+D27+D28+D29+D30+D32)</f>
        <v>69650</v>
      </c>
      <c r="E33" s="437">
        <f aca="true" t="shared" si="7" ref="E33:AE33">SUM(E17+E18+E19+E25+E26+E27+E28+E29+E30+E32)</f>
        <v>5000</v>
      </c>
      <c r="F33" s="437">
        <f t="shared" si="7"/>
        <v>157388</v>
      </c>
      <c r="G33" s="437">
        <f>SUM(G17+G18+G19+G25+G26+G27+G28+G29+G30+G32)</f>
        <v>77500</v>
      </c>
      <c r="H33" s="437">
        <f>SUM(H17+H18+H19+H25+H26+H27+H28+H29+H30+H32)</f>
        <v>98700</v>
      </c>
      <c r="I33" s="437">
        <f>SUM(I17+I18+I19+I25+I26+I27+I28+I29+I30+I32)</f>
        <v>162298</v>
      </c>
      <c r="J33" s="437">
        <f t="shared" si="7"/>
        <v>164590</v>
      </c>
      <c r="K33" s="437">
        <f t="shared" si="7"/>
        <v>564641</v>
      </c>
      <c r="L33" s="437">
        <f t="shared" si="7"/>
        <v>578747</v>
      </c>
      <c r="M33" s="437">
        <f t="shared" si="7"/>
        <v>114446</v>
      </c>
      <c r="N33" s="437">
        <f t="shared" si="7"/>
        <v>273708</v>
      </c>
      <c r="O33" s="437">
        <f t="shared" si="7"/>
        <v>23693</v>
      </c>
      <c r="P33" s="437">
        <f t="shared" si="7"/>
        <v>272505</v>
      </c>
      <c r="Q33" s="437">
        <f t="shared" si="7"/>
        <v>108421</v>
      </c>
      <c r="R33" s="437">
        <f t="shared" si="7"/>
        <v>323340</v>
      </c>
      <c r="S33" s="437">
        <f t="shared" si="7"/>
        <v>84429</v>
      </c>
      <c r="T33" s="438">
        <f t="shared" si="7"/>
        <v>19360</v>
      </c>
      <c r="U33" s="439">
        <f t="shared" si="7"/>
        <v>251012</v>
      </c>
      <c r="V33" s="440">
        <f t="shared" si="7"/>
        <v>23240</v>
      </c>
      <c r="W33" s="437">
        <f t="shared" si="7"/>
        <v>13418</v>
      </c>
      <c r="X33" s="437">
        <f t="shared" si="7"/>
        <v>8470</v>
      </c>
      <c r="Y33" s="437">
        <f t="shared" si="7"/>
        <v>220173</v>
      </c>
      <c r="Z33" s="437">
        <f t="shared" si="7"/>
        <v>56000</v>
      </c>
      <c r="AA33" s="437">
        <f t="shared" si="7"/>
        <v>39000</v>
      </c>
      <c r="AB33" s="437">
        <f t="shared" si="7"/>
        <v>20000</v>
      </c>
      <c r="AC33" s="437">
        <f t="shared" si="7"/>
        <v>16163</v>
      </c>
      <c r="AD33" s="437">
        <f t="shared" si="7"/>
        <v>56248</v>
      </c>
      <c r="AE33" s="437">
        <f t="shared" si="7"/>
        <v>15000</v>
      </c>
    </row>
    <row r="34" spans="1:31" ht="15.75" thickBot="1">
      <c r="A34" s="427"/>
      <c r="B34" s="428"/>
      <c r="C34" s="450">
        <f>C14-C33</f>
        <v>0</v>
      </c>
      <c r="D34" s="450">
        <f>D14-D33</f>
        <v>0</v>
      </c>
      <c r="E34" s="450">
        <f aca="true" t="shared" si="8" ref="E34:AE34">E14-E33</f>
        <v>0</v>
      </c>
      <c r="F34" s="450">
        <f t="shared" si="8"/>
        <v>0</v>
      </c>
      <c r="G34" s="450">
        <f>G14-G33</f>
        <v>0</v>
      </c>
      <c r="H34" s="450">
        <f>H14-H33</f>
        <v>0</v>
      </c>
      <c r="I34" s="450">
        <f>I14-I33</f>
        <v>0</v>
      </c>
      <c r="J34" s="450">
        <f t="shared" si="8"/>
        <v>0</v>
      </c>
      <c r="K34" s="450">
        <f t="shared" si="8"/>
        <v>0</v>
      </c>
      <c r="L34" s="450">
        <f t="shared" si="8"/>
        <v>0</v>
      </c>
      <c r="M34" s="450">
        <f t="shared" si="8"/>
        <v>0</v>
      </c>
      <c r="N34" s="450">
        <f t="shared" si="8"/>
        <v>0</v>
      </c>
      <c r="O34" s="450">
        <f t="shared" si="8"/>
        <v>0</v>
      </c>
      <c r="P34" s="450">
        <f t="shared" si="8"/>
        <v>0</v>
      </c>
      <c r="Q34" s="450">
        <f t="shared" si="8"/>
        <v>0</v>
      </c>
      <c r="R34" s="450">
        <f t="shared" si="8"/>
        <v>0</v>
      </c>
      <c r="S34" s="450">
        <f t="shared" si="8"/>
        <v>0</v>
      </c>
      <c r="T34" s="450">
        <f t="shared" si="8"/>
        <v>0</v>
      </c>
      <c r="U34" s="450">
        <f t="shared" si="8"/>
        <v>0</v>
      </c>
      <c r="V34" s="451">
        <f t="shared" si="8"/>
        <v>0</v>
      </c>
      <c r="W34" s="450">
        <f t="shared" si="8"/>
        <v>0</v>
      </c>
      <c r="X34" s="450">
        <f t="shared" si="8"/>
        <v>0</v>
      </c>
      <c r="Y34" s="450">
        <f t="shared" si="8"/>
        <v>0</v>
      </c>
      <c r="Z34" s="450">
        <f t="shared" si="8"/>
        <v>0</v>
      </c>
      <c r="AA34" s="450">
        <f t="shared" si="8"/>
        <v>0</v>
      </c>
      <c r="AB34" s="450">
        <f t="shared" si="8"/>
        <v>0</v>
      </c>
      <c r="AC34" s="450">
        <f t="shared" si="8"/>
        <v>0</v>
      </c>
      <c r="AD34" s="450">
        <f t="shared" si="8"/>
        <v>0</v>
      </c>
      <c r="AE34" s="537">
        <f t="shared" si="8"/>
        <v>0</v>
      </c>
    </row>
    <row r="36" spans="2:3" ht="15">
      <c r="B36" s="8" t="s">
        <v>157</v>
      </c>
      <c r="C36" s="1" t="s">
        <v>43</v>
      </c>
    </row>
    <row r="38" spans="3:31" ht="12.75">
      <c r="C38" s="823"/>
      <c r="D38" s="823"/>
      <c r="E38" s="823"/>
      <c r="F38" s="823"/>
      <c r="G38" s="823"/>
      <c r="H38" s="823"/>
      <c r="I38" s="823"/>
      <c r="J38" s="823"/>
      <c r="K38" s="823"/>
      <c r="L38" s="823"/>
      <c r="M38" s="823"/>
      <c r="N38" s="823"/>
      <c r="O38" s="823"/>
      <c r="P38" s="823"/>
      <c r="Q38" s="823"/>
      <c r="R38" s="823"/>
      <c r="S38" s="823"/>
      <c r="T38" s="823"/>
      <c r="U38" s="823"/>
      <c r="V38" s="823"/>
      <c r="W38" s="823"/>
      <c r="X38" s="823"/>
      <c r="Y38" s="823"/>
      <c r="Z38" s="823"/>
      <c r="AA38" s="823"/>
      <c r="AB38" s="823"/>
      <c r="AC38" s="823"/>
      <c r="AD38" s="823"/>
      <c r="AE38" s="823"/>
    </row>
    <row r="40" ht="12.75">
      <c r="C40" s="40"/>
    </row>
  </sheetData>
  <sheetProtection/>
  <mergeCells count="2">
    <mergeCell ref="A4:B4"/>
    <mergeCell ref="A5:B5"/>
  </mergeCells>
  <printOptions/>
  <pageMargins left="0.7" right="0.7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Installer</dc:creator>
  <cp:keywords/>
  <dc:description/>
  <cp:lastModifiedBy>Maija Ozola</cp:lastModifiedBy>
  <cp:lastPrinted>2020-10-16T08:29:22Z</cp:lastPrinted>
  <dcterms:created xsi:type="dcterms:W3CDTF">2007-01-07T18:55:45Z</dcterms:created>
  <dcterms:modified xsi:type="dcterms:W3CDTF">2020-10-20T12:47:52Z</dcterms:modified>
  <cp:category/>
  <cp:version/>
  <cp:contentType/>
  <cp:contentStatus/>
</cp:coreProperties>
</file>