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Pamatbudžets   " sheetId="1" r:id="rId1"/>
    <sheet name="Ieņēmumi" sheetId="2" r:id="rId2"/>
    <sheet name="Izdevumi" sheetId="3" r:id="rId3"/>
    <sheet name="Mērķdot. " sheetId="4" r:id="rId4"/>
    <sheet name="Fin. pagastu pārv." sheetId="5" r:id="rId5"/>
    <sheet name="Sheet1" sheetId="6" r:id="rId6"/>
    <sheet name="Sheet2" sheetId="7" r:id="rId7"/>
    <sheet name="Sheet3" sheetId="8" r:id="rId8"/>
  </sheets>
  <definedNames>
    <definedName name="_xlnm.Print_Titles" localSheetId="0">'Pamatbudžets   '!$7:$7</definedName>
  </definedNames>
  <calcPr fullCalcOnLoad="1"/>
</workbook>
</file>

<file path=xl/sharedStrings.xml><?xml version="1.0" encoding="utf-8"?>
<sst xmlns="http://schemas.openxmlformats.org/spreadsheetml/2006/main" count="1962" uniqueCount="999">
  <si>
    <t>Papildus finansējums konkrētiem mērķiem</t>
  </si>
  <si>
    <t>PA "Ogres kultūras centrs" finansējums</t>
  </si>
  <si>
    <t>Iestāde</t>
  </si>
  <si>
    <t>Pamatojums</t>
  </si>
  <si>
    <t>Pieprasīts</t>
  </si>
  <si>
    <t>Piezīmes</t>
  </si>
  <si>
    <t>Klasifikācijas kods</t>
  </si>
  <si>
    <t>Sociālais nodoklis</t>
  </si>
  <si>
    <t>Izglītība</t>
  </si>
  <si>
    <t>04.000</t>
  </si>
  <si>
    <t>PII</t>
  </si>
  <si>
    <t>05.200</t>
  </si>
  <si>
    <t>06.000</t>
  </si>
  <si>
    <t>07.000</t>
  </si>
  <si>
    <t>Kultūra</t>
  </si>
  <si>
    <t>08.000</t>
  </si>
  <si>
    <t>10.000</t>
  </si>
  <si>
    <t>Sporta centrs</t>
  </si>
  <si>
    <t>1100</t>
  </si>
  <si>
    <t>1200</t>
  </si>
  <si>
    <t>Kopā uz korekcijām:</t>
  </si>
  <si>
    <t>Iekšējas korekcijas</t>
  </si>
  <si>
    <t xml:space="preserve">   Ieņēmuma pozīcijas nosaukums             </t>
  </si>
  <si>
    <t>Kods</t>
  </si>
  <si>
    <t>KOPĀ :</t>
  </si>
  <si>
    <t>Pielikums Nr.1</t>
  </si>
  <si>
    <t>4.1.1.0.</t>
  </si>
  <si>
    <t>4.1.2.0.</t>
  </si>
  <si>
    <t>5.4.1.0.</t>
  </si>
  <si>
    <t>Pašvaldību nodevas</t>
  </si>
  <si>
    <t>9.5.0.0.</t>
  </si>
  <si>
    <t>05.000</t>
  </si>
  <si>
    <t>Pabalsts maznodrošinātām ģimenēm</t>
  </si>
  <si>
    <t>Pašvaldības policija</t>
  </si>
  <si>
    <t>Kopā izdevumi:</t>
  </si>
  <si>
    <t>Kredīta atmaksa</t>
  </si>
  <si>
    <t>S.Velberga</t>
  </si>
  <si>
    <t>Paskaidrojums pie budžeta grozījumiem</t>
  </si>
  <si>
    <t>Nodokļu ieņēmumi</t>
  </si>
  <si>
    <t>1.1.1.0.</t>
  </si>
  <si>
    <t>1.1.1.1.</t>
  </si>
  <si>
    <t>1.1.1.2.</t>
  </si>
  <si>
    <t>4.1.0.0.</t>
  </si>
  <si>
    <t>Nekustamā īpašuma nodoklis</t>
  </si>
  <si>
    <t>Nekustamā īpašuma nodoklis par zemi</t>
  </si>
  <si>
    <t xml:space="preserve">Nekustamā īpašuma nodoklis par ēkām </t>
  </si>
  <si>
    <t>Azartspēļu nodoklis</t>
  </si>
  <si>
    <t>Nenodokļu ieņēmumi</t>
  </si>
  <si>
    <t>9.4.0.0.</t>
  </si>
  <si>
    <t>Valsts nodevas, kuras ieskaita pašvaldību budžetā</t>
  </si>
  <si>
    <t>Pārējie nenodokļu ieņēmumi</t>
  </si>
  <si>
    <t>18.0.0.0.</t>
  </si>
  <si>
    <t>Valsts budžeta transferti</t>
  </si>
  <si>
    <t>19.0.0.0.</t>
  </si>
  <si>
    <t>Pašvaldību budžetu transferti</t>
  </si>
  <si>
    <t>19.2.0.0.</t>
  </si>
  <si>
    <t>19.3.0.0.</t>
  </si>
  <si>
    <t>21.0.0.0.</t>
  </si>
  <si>
    <t>Budžeta iestāžu ieņēmumi</t>
  </si>
  <si>
    <t>21.3.0.0.</t>
  </si>
  <si>
    <t>21.3.8.0.</t>
  </si>
  <si>
    <t>Ieņēmumi par nomu un īri</t>
  </si>
  <si>
    <t>21.3.9.0.</t>
  </si>
  <si>
    <t>Ieņēmumi par pārējiem budžeta iestāžu maksas pakalpojumiem</t>
  </si>
  <si>
    <t>KOPĀ IEŅĒMUMI</t>
  </si>
  <si>
    <t>Valsts kases kredīts</t>
  </si>
  <si>
    <t>Kopā ar kredītresursiem:</t>
  </si>
  <si>
    <t>Kopā ar budžeta atlikumu</t>
  </si>
  <si>
    <t>Pielikums Nr.2</t>
  </si>
  <si>
    <t>01.000</t>
  </si>
  <si>
    <t>Vispārējie valdības dienesti</t>
  </si>
  <si>
    <t>01.720</t>
  </si>
  <si>
    <t>Pašvaldību budžetu parāda darījumi</t>
  </si>
  <si>
    <t>01.721</t>
  </si>
  <si>
    <t xml:space="preserve">       Pašvaldību budžetu valsts iekšējā parāda darījumi</t>
  </si>
  <si>
    <t>01.830</t>
  </si>
  <si>
    <t>Vispārēja rakstura transferti no pašvaldību budžeta pašvaldību budžetam</t>
  </si>
  <si>
    <t xml:space="preserve">       Norēķini ar citu pašvaldību izglītības iestādēm</t>
  </si>
  <si>
    <t>01.890</t>
  </si>
  <si>
    <t>03.000</t>
  </si>
  <si>
    <t>Sabiedriskā kārtība un drošība</t>
  </si>
  <si>
    <t>03.600</t>
  </si>
  <si>
    <t>Ekonomiskā darbība</t>
  </si>
  <si>
    <t>04.111</t>
  </si>
  <si>
    <t>Vispārējas ekonomiskas darbības vadība</t>
  </si>
  <si>
    <t>04.210</t>
  </si>
  <si>
    <t>04.220</t>
  </si>
  <si>
    <t>Mežsaimniecība un medniecība</t>
  </si>
  <si>
    <t>04.510</t>
  </si>
  <si>
    <t>Autotransports</t>
  </si>
  <si>
    <t xml:space="preserve">       Ceļu būvniecībai un remontiem</t>
  </si>
  <si>
    <t>04.600</t>
  </si>
  <si>
    <t>Sakari</t>
  </si>
  <si>
    <t>Vides aizsardzība</t>
  </si>
  <si>
    <t>05.100</t>
  </si>
  <si>
    <t>Atkritumu apsaimniekošana</t>
  </si>
  <si>
    <t>Notekūdeņu apsaimniekošana</t>
  </si>
  <si>
    <t>Pašvaldības teritoriju un mājokļu apsaimniekošana</t>
  </si>
  <si>
    <t>06.300</t>
  </si>
  <si>
    <t>Ūdensapgāde</t>
  </si>
  <si>
    <t>06.400</t>
  </si>
  <si>
    <t>Ielu apgaismošana</t>
  </si>
  <si>
    <t>06.600</t>
  </si>
  <si>
    <t>Pārējā citur nekvalificētā pašvaldību teritoriju un mājokļu apsaimniekošanas darbība</t>
  </si>
  <si>
    <t>Veselība</t>
  </si>
  <si>
    <t>07.210</t>
  </si>
  <si>
    <t>Ambulatorās ārstniecības iestādes</t>
  </si>
  <si>
    <t>Atpūta, kultūra un reliģija</t>
  </si>
  <si>
    <t>08.100</t>
  </si>
  <si>
    <t>Atpūtas un sporta  pasākumi</t>
  </si>
  <si>
    <t xml:space="preserve">       Sporta pasākumu rīkošanai</t>
  </si>
  <si>
    <t xml:space="preserve">       Komandas vai individuālu sacensību dalībnieku atbalstam</t>
  </si>
  <si>
    <t>08.200</t>
  </si>
  <si>
    <t>08.230</t>
  </si>
  <si>
    <t>08.290</t>
  </si>
  <si>
    <t>Televīzija</t>
  </si>
  <si>
    <t>Izdevniecība ( Novada informatīvie izdevumi )</t>
  </si>
  <si>
    <t>09.000</t>
  </si>
  <si>
    <t>09.100</t>
  </si>
  <si>
    <t>PII  "Cīrulītis"</t>
  </si>
  <si>
    <t>PII  "Dzīpariņš"</t>
  </si>
  <si>
    <t>PII  "Zelta sietiņš"</t>
  </si>
  <si>
    <t>PII  "Saulīte"</t>
  </si>
  <si>
    <t>PII " Ābelīte"</t>
  </si>
  <si>
    <t>09.210</t>
  </si>
  <si>
    <t>09.211</t>
  </si>
  <si>
    <t>Ogres 1. vidusskola</t>
  </si>
  <si>
    <t>Jaunogres vidusskola</t>
  </si>
  <si>
    <t>Ogresgala pamatskola</t>
  </si>
  <si>
    <t>09.510</t>
  </si>
  <si>
    <t>Interešu un profesionālās ievirzes izglītība</t>
  </si>
  <si>
    <t>Mūzikas skola</t>
  </si>
  <si>
    <t>Mākslas skola</t>
  </si>
  <si>
    <t>09.820</t>
  </si>
  <si>
    <t>Sociālā aizsardzība</t>
  </si>
  <si>
    <t>10.600</t>
  </si>
  <si>
    <t>Mājokļa atbalsts</t>
  </si>
  <si>
    <t>10.700</t>
  </si>
  <si>
    <t>Pārējais citur neklasificēts atbalsts sociāli atstumtām personām</t>
  </si>
  <si>
    <t xml:space="preserve">Sociālais dienests </t>
  </si>
  <si>
    <t>Vietējie valdības dienesti</t>
  </si>
  <si>
    <t>Vispārējā izglītība</t>
  </si>
  <si>
    <t>Pašvaldības teritoriju un mājokļu apsaimniek.</t>
  </si>
  <si>
    <t>Jaunogres v-sk.</t>
  </si>
  <si>
    <t>Ogresgala pamatsk.</t>
  </si>
  <si>
    <t xml:space="preserve">  Kopā:</t>
  </si>
  <si>
    <t>Apstiprinātās mērķdot.</t>
  </si>
  <si>
    <t>Korekcijas</t>
  </si>
  <si>
    <t>Mērķdot.ped.algām</t>
  </si>
  <si>
    <t>Basketbola skola</t>
  </si>
  <si>
    <t>Ogres 1.vidussk.</t>
  </si>
  <si>
    <t>Ģimnāzija</t>
  </si>
  <si>
    <t>Nemateriālie ieguldījumi</t>
  </si>
  <si>
    <t>13.0.0.0.</t>
  </si>
  <si>
    <t>Mērtķdotācijas pedagogu algām</t>
  </si>
  <si>
    <t xml:space="preserve">    Muzeji un izstādes</t>
  </si>
  <si>
    <t xml:space="preserve">    Finansējums PA "Ogres kultūras centrs"</t>
  </si>
  <si>
    <t xml:space="preserve">    Pilsētas dekorēšana svētkiem</t>
  </si>
  <si>
    <t>PII " Strautiņš"</t>
  </si>
  <si>
    <t xml:space="preserve">Pozīcijas nosaukums             </t>
  </si>
  <si>
    <t>Ieņēmumi no iedzīvotāju ienākuma nodokļa</t>
  </si>
  <si>
    <t>Saņemts no VK sadales konta  iepriekšējā gada nesadalītais iedzīvotāju ienākuma nodokļa atlikums</t>
  </si>
  <si>
    <t>Saņemts no VK sadales konta  pārskata gadā ieskaitītais iedzīvotāju ienākuma nodoklis</t>
  </si>
  <si>
    <t>4.0.0.0.</t>
  </si>
  <si>
    <t>Īpašuma nodokļi</t>
  </si>
  <si>
    <t>8.6.0.0.</t>
  </si>
  <si>
    <t>Procentu ieņēmumi par depozītiem, kontu atlikumiem un vērtpapīriem</t>
  </si>
  <si>
    <t>10.1.0.0.</t>
  </si>
  <si>
    <t>Naudas sodi</t>
  </si>
  <si>
    <t>12.3.0.0.</t>
  </si>
  <si>
    <t>19.1.0.0.</t>
  </si>
  <si>
    <t>21.3.5.0.</t>
  </si>
  <si>
    <t>Maksa par izglītības pakalpojumiem</t>
  </si>
  <si>
    <t>21.3.7.0.</t>
  </si>
  <si>
    <t>Būvvalde</t>
  </si>
  <si>
    <t>Mājokļu attīstība pašvaldībā</t>
  </si>
  <si>
    <t xml:space="preserve">       Ģimenes ārstu prakse </t>
  </si>
  <si>
    <t xml:space="preserve">    Bibliotēkas </t>
  </si>
  <si>
    <t>PII "Riekstiņš"</t>
  </si>
  <si>
    <t>PII "Taurenītis"</t>
  </si>
  <si>
    <t xml:space="preserve">Ķeipenes pamatskola </t>
  </si>
  <si>
    <t>Madlienas vidusskola</t>
  </si>
  <si>
    <t>09.219</t>
  </si>
  <si>
    <t>Suntažu vidusskola</t>
  </si>
  <si>
    <t>Madlienas mūzikas un mākslas skola</t>
  </si>
  <si>
    <t>09.600</t>
  </si>
  <si>
    <t>Izglītības papildu pakalpojumi</t>
  </si>
  <si>
    <t>Atbalsts bezdarba gadījumā</t>
  </si>
  <si>
    <t xml:space="preserve">Sabiedriskās organizācijas </t>
  </si>
  <si>
    <t>Pansionāts "Madliena"</t>
  </si>
  <si>
    <t>F40 32 00 20</t>
  </si>
  <si>
    <t>Preces un pakalpojumi</t>
  </si>
  <si>
    <t>Komandējumi un dienesta braucieni</t>
  </si>
  <si>
    <t>Pakalpojumi</t>
  </si>
  <si>
    <t>Krājumi,materiāli,energoresursi,prece,biroja preces un inventārs, ko neuzskaita  5000. kodā</t>
  </si>
  <si>
    <t>Izdevumi periodikas iegādei</t>
  </si>
  <si>
    <t>Budžeta iestāžu nodokļu maksājumi</t>
  </si>
  <si>
    <t xml:space="preserve">Pārējie procentu maksājumi </t>
  </si>
  <si>
    <t>Pamatlīdzekļi</t>
  </si>
  <si>
    <t xml:space="preserve">Sociālie pabalsti naudā </t>
  </si>
  <si>
    <t>Sociālie pabalsti natūrā</t>
  </si>
  <si>
    <t xml:space="preserve"> IZDEVUMI KOPĀ</t>
  </si>
  <si>
    <t>2100</t>
  </si>
  <si>
    <t>2200</t>
  </si>
  <si>
    <t>5200</t>
  </si>
  <si>
    <t>2300</t>
  </si>
  <si>
    <t>21.1.0.0.</t>
  </si>
  <si>
    <t xml:space="preserve">Budžeta iestādes ieņēmumi no ārvalstu finanšu palīdzības </t>
  </si>
  <si>
    <t>F56010000</t>
  </si>
  <si>
    <t>Kapitālieguldījumu fondu akcijas</t>
  </si>
  <si>
    <t>PII "Saulīte"</t>
  </si>
  <si>
    <t>Atalgojums</t>
  </si>
  <si>
    <t xml:space="preserve">No vispārējiem ieņēmumiem </t>
  </si>
  <si>
    <t>Kopā:</t>
  </si>
  <si>
    <t>Krapes pagasts</t>
  </si>
  <si>
    <t>Ķeipenes pagasts</t>
  </si>
  <si>
    <t>Lauberes pagasts</t>
  </si>
  <si>
    <t>Madlienas pagasts</t>
  </si>
  <si>
    <t>Mazozolu pagasts</t>
  </si>
  <si>
    <t>Meņģeles pagasts</t>
  </si>
  <si>
    <t>Suntažu pagasts</t>
  </si>
  <si>
    <t>Taurupes pagasts</t>
  </si>
  <si>
    <t>Kopā novadā:</t>
  </si>
  <si>
    <t>Izdevumu mērķa atšifrējums no vispārējiem ieņēmumiem</t>
  </si>
  <si>
    <t>Atbalsts ģimenēm ar bērniem (Bāriņtiesas)</t>
  </si>
  <si>
    <t>Finansējums grāmatām</t>
  </si>
  <si>
    <t>18.6.0.0.</t>
  </si>
  <si>
    <t>Pašvaldību budžetā saņemtie uzturēšanas izdevumu transferti no valsts budžeta</t>
  </si>
  <si>
    <t>Ogres sākumskola</t>
  </si>
  <si>
    <t>Kapitālais remonts un rekonstrukcija</t>
  </si>
  <si>
    <t>4.1.3.0.</t>
  </si>
  <si>
    <t>Nekustamā īpašuma nodoklis par mājokļiem</t>
  </si>
  <si>
    <t>Pašvaldību saņemtie transferti no valsts budžeta</t>
  </si>
  <si>
    <t>Pašvaldības budžeta iekšējie transferti starp vienas pašvaldības budžeta veidiem</t>
  </si>
  <si>
    <t>Pašvaldību saņemtie transferti no citām pašvaldībām</t>
  </si>
  <si>
    <t>Ieņēmumi no budžeta iestāžu sniegtajiem maksas pakalpojumiem un citi pašu ieņēmumi</t>
  </si>
  <si>
    <t>01.100</t>
  </si>
  <si>
    <t xml:space="preserve">Izpildvaras un likumdošanas varas  institūcijas </t>
  </si>
  <si>
    <t>01.820</t>
  </si>
  <si>
    <t>Vispārēja rakstura transferti no pašvaldību budžeta valsts budžetam</t>
  </si>
  <si>
    <t xml:space="preserve">Izdevumi neparedzētiem gadījumiem </t>
  </si>
  <si>
    <t>03.110</t>
  </si>
  <si>
    <t>Pārējie sabiedriskās kārtības un drošības pakalpojumi (Video novērošanai Ogrē)</t>
  </si>
  <si>
    <t>04.11101</t>
  </si>
  <si>
    <t>Uzņēmējdarbības  attīstības veicināšanai</t>
  </si>
  <si>
    <t xml:space="preserve">Lauksaimniecība </t>
  </si>
  <si>
    <t>04.51004</t>
  </si>
  <si>
    <t>Pārējais autotransports</t>
  </si>
  <si>
    <t>04.6001</t>
  </si>
  <si>
    <t>05.1001</t>
  </si>
  <si>
    <t>05.2001</t>
  </si>
  <si>
    <t>05.2002</t>
  </si>
  <si>
    <t>05.300</t>
  </si>
  <si>
    <t>Vides piesārņojuma novēršana un samazināšana</t>
  </si>
  <si>
    <t>05.400</t>
  </si>
  <si>
    <t>Bioloģiskās daudzveidības un ainavas aizsardzība</t>
  </si>
  <si>
    <t>Teritoriju attīstība ( projektēšanai )</t>
  </si>
  <si>
    <t>06.60001</t>
  </si>
  <si>
    <t>06.60002</t>
  </si>
  <si>
    <t>06.60003</t>
  </si>
  <si>
    <t>06.60006</t>
  </si>
  <si>
    <t>06.60007</t>
  </si>
  <si>
    <t>06.60008</t>
  </si>
  <si>
    <t>06.60009</t>
  </si>
  <si>
    <t>06.60010</t>
  </si>
  <si>
    <t>08.1001</t>
  </si>
  <si>
    <t>08.1002</t>
  </si>
  <si>
    <t>08.2201</t>
  </si>
  <si>
    <t>08.2202</t>
  </si>
  <si>
    <t>Pārējā citur neklasificētā kultūra</t>
  </si>
  <si>
    <t>08.29001</t>
  </si>
  <si>
    <t>08.29002</t>
  </si>
  <si>
    <t>08.29003</t>
  </si>
  <si>
    <t xml:space="preserve">Pirmsskolas izglītība </t>
  </si>
  <si>
    <t>09.10002</t>
  </si>
  <si>
    <t>09.10003</t>
  </si>
  <si>
    <t>09.10004</t>
  </si>
  <si>
    <t>09.10005</t>
  </si>
  <si>
    <t>09.10006</t>
  </si>
  <si>
    <t>09.10007</t>
  </si>
  <si>
    <t>09.10008</t>
  </si>
  <si>
    <t>09.10009</t>
  </si>
  <si>
    <t>09.10010</t>
  </si>
  <si>
    <t>Sākumskolas (ISCED-97 1. līmenis)</t>
  </si>
  <si>
    <t>Vispārējās izglītības mācību iestāžu izdevumi (ISCED-97 1.- 3. līmenis)</t>
  </si>
  <si>
    <t>09.21901</t>
  </si>
  <si>
    <t>09.21902</t>
  </si>
  <si>
    <t>Ogres ģimnāzija</t>
  </si>
  <si>
    <t>09.21903</t>
  </si>
  <si>
    <t>09.21904</t>
  </si>
  <si>
    <t>09.21905</t>
  </si>
  <si>
    <t>09.21906</t>
  </si>
  <si>
    <t>09.21907</t>
  </si>
  <si>
    <t>09.21908</t>
  </si>
  <si>
    <t>09.21910</t>
  </si>
  <si>
    <t>09.5101</t>
  </si>
  <si>
    <t>09.5102</t>
  </si>
  <si>
    <t>09.5103</t>
  </si>
  <si>
    <t>09.5104</t>
  </si>
  <si>
    <t>09.5106</t>
  </si>
  <si>
    <t>Pārējā citur neklasificētā izglītība (izglītības projektu realizācija)</t>
  </si>
  <si>
    <t>09.82007</t>
  </si>
  <si>
    <t>09.82008</t>
  </si>
  <si>
    <t>10.70001</t>
  </si>
  <si>
    <t>10.70002</t>
  </si>
  <si>
    <t>10.70005</t>
  </si>
  <si>
    <t>10.70010</t>
  </si>
  <si>
    <t>01.830    7230</t>
  </si>
  <si>
    <t>Pašvaldību  uzturēšanas izdevumu transferti padotības iestādēm</t>
  </si>
  <si>
    <t>Darba devēja valsts sociālās apdrošināšanas obligātās iemaksas, sociālā rakstura pabalsti un kompensācijas</t>
  </si>
  <si>
    <t>Pakalpojumi, kurus budžeta iestādes apmaksā noteikto funkciju ietvaros, kas nav iestādes administratīvie izdevumi</t>
  </si>
  <si>
    <t>Subsīdijas un dotācijas komersantiem, biedrībām un nodibinājumiem</t>
  </si>
  <si>
    <t>Pārējie maksājumi iedzīvotājiem natūrā un kompensācijas</t>
  </si>
  <si>
    <t>Pašvaldību uzturēšanas izdevumu transferti</t>
  </si>
  <si>
    <t xml:space="preserve">Kopā </t>
  </si>
  <si>
    <t>06.100</t>
  </si>
  <si>
    <t>Dabas resursu nodoklis</t>
  </si>
  <si>
    <t xml:space="preserve">Mērķdot. Kolekt.vad. darb.sam.    </t>
  </si>
  <si>
    <t xml:space="preserve">Mērķdot. visp.izgl. ped. darb.sam.  </t>
  </si>
  <si>
    <t xml:space="preserve">Mērķdotācija interer. izgl.    </t>
  </si>
  <si>
    <t xml:space="preserve">Mērķdot. 5.-6.gad. apm. ped.darb.sam   </t>
  </si>
  <si>
    <t>Ogres sākumsk.</t>
  </si>
  <si>
    <t>03.200</t>
  </si>
  <si>
    <t xml:space="preserve">          Vēstures un mākslas muzejs</t>
  </si>
  <si>
    <t xml:space="preserve">Mērķis </t>
  </si>
  <si>
    <t>Ugunsdrošības, glābšanas un civilās drošības dienesti</t>
  </si>
  <si>
    <t>Pārējā citur neklasificētā izglītība</t>
  </si>
  <si>
    <t>Krājumi, materiāli,energoresursi,preces</t>
  </si>
  <si>
    <t>3200</t>
  </si>
  <si>
    <t>Notekūdeņu savākšana un attīrīšana</t>
  </si>
  <si>
    <t>Dotācija biedrībām un organizācijām</t>
  </si>
  <si>
    <t>Ieņēmumi no pašvaldības īpašuma iznomāšanas, pārdošanas un nodokļu pamatp.kapitaliz.</t>
  </si>
  <si>
    <t>Publisko interneta pieejas punktu attīstība</t>
  </si>
  <si>
    <t>Taurupes pamatskola</t>
  </si>
  <si>
    <t>EUR</t>
  </si>
  <si>
    <t>Finansējums māc.līdz.</t>
  </si>
  <si>
    <t>PII "Dzīpariņš"</t>
  </si>
  <si>
    <t>Budžeta iestādes ieņēmumi no ārvalstu finanšu palīdzības</t>
  </si>
  <si>
    <t>Pašvaldību saņemtie transferti no valsts budžeta daļēji finansētām atvasinātām publiskām personām un no budžeta nefinansētām iestādēm</t>
  </si>
  <si>
    <t>17.2.0.0.</t>
  </si>
  <si>
    <r>
      <t xml:space="preserve">Kods 18.6.3.0. “ </t>
    </r>
    <r>
      <rPr>
        <i/>
        <sz val="14"/>
        <rFont val="Times New Roman"/>
        <family val="1"/>
      </rPr>
      <t xml:space="preserve">Pašvaldību no valsts budžeta iestādēm saņemtie transferti ES politiku instrumentu  un pārējās ārvalstu finanšu palīdzības līdzfinansētajiem projektiem </t>
    </r>
    <r>
      <rPr>
        <sz val="14"/>
        <rFont val="Times New Roman"/>
        <family val="1"/>
      </rPr>
      <t xml:space="preserve">” </t>
    </r>
  </si>
  <si>
    <t>Ceļu būvniecībai un remontiem</t>
  </si>
  <si>
    <t>PA "Ogres kultūras c."</t>
  </si>
  <si>
    <t>Izpildvara</t>
  </si>
  <si>
    <r>
      <t xml:space="preserve">Kods 18.6.2.0. “ </t>
    </r>
    <r>
      <rPr>
        <i/>
        <sz val="14"/>
        <rFont val="Times New Roman"/>
        <family val="1"/>
      </rPr>
      <t>Pašvaldību budžetā saņemtie valsts transferti noteiktam mērķim</t>
    </r>
    <r>
      <rPr>
        <sz val="14"/>
        <rFont val="Times New Roman"/>
        <family val="1"/>
      </rPr>
      <t xml:space="preserve">” </t>
    </r>
  </si>
  <si>
    <t>6200</t>
  </si>
  <si>
    <t>21.3.0.0.0</t>
  </si>
  <si>
    <t>Mājokļu apsaimniekošana</t>
  </si>
  <si>
    <t>Siltumapgāde</t>
  </si>
  <si>
    <t>PA "Ogres kultūras centrs" izdevumi</t>
  </si>
  <si>
    <t>Finansējums māc.literat. 5-6 gad.</t>
  </si>
  <si>
    <t xml:space="preserve">       Norēķini ar citu pašvaldību sociālo pakalpojumu iestādēm</t>
  </si>
  <si>
    <t>08.29011</t>
  </si>
  <si>
    <t>PA Rosme</t>
  </si>
  <si>
    <t>Atkritumu apsaimniekošana un labiekārtošana</t>
  </si>
  <si>
    <t>Budžeta nodaļas vadītāja</t>
  </si>
  <si>
    <t>PA "Rosme"</t>
  </si>
  <si>
    <t>01.890   2200</t>
  </si>
  <si>
    <t>F20010000 AS</t>
  </si>
  <si>
    <t>F20010000 AB</t>
  </si>
  <si>
    <t>1.,2.,3.,4. klases skoln. Ēdināš.</t>
  </si>
  <si>
    <t xml:space="preserve">Pārējie 21.3.0.0.grupā neklasificētie budžeta iestāžu ieņēmumi </t>
  </si>
  <si>
    <t>21.4.0.0.0</t>
  </si>
  <si>
    <t>Suntažu internātsk.</t>
  </si>
  <si>
    <t>21.4.9.0</t>
  </si>
  <si>
    <t>Pārējie iepriekš neklasificētie pašu ieņēmumi</t>
  </si>
  <si>
    <t>04.11114</t>
  </si>
  <si>
    <t>04.2101</t>
  </si>
  <si>
    <t>04.2103</t>
  </si>
  <si>
    <t>04.51007</t>
  </si>
  <si>
    <t>05.1007</t>
  </si>
  <si>
    <t>05.30011</t>
  </si>
  <si>
    <t>06.1001</t>
  </si>
  <si>
    <t>08.1004</t>
  </si>
  <si>
    <t xml:space="preserve">       Struktūrvienība peldbaseins  "Neptūns"</t>
  </si>
  <si>
    <t>Pārējā izglītības vadība (Izglītības, kultūras un sporta pārvalde)</t>
  </si>
  <si>
    <t>09.82030</t>
  </si>
  <si>
    <t>Mācību, darba un dienesta komandējumi, dienesta, darba braucieni</t>
  </si>
  <si>
    <t>Kompensācijas, kuras izmaksā personām, pamatojoties uz Latvijas tiesu nolēmumiem</t>
  </si>
  <si>
    <t>Cīrulītis</t>
  </si>
  <si>
    <t>Dzīpariņš</t>
  </si>
  <si>
    <t>Zelta sietiņš</t>
  </si>
  <si>
    <t>Saulīte</t>
  </si>
  <si>
    <t>Ābelīte</t>
  </si>
  <si>
    <t>Strautiņš</t>
  </si>
  <si>
    <t>Riekstiņš</t>
  </si>
  <si>
    <t xml:space="preserve">   Kopā</t>
  </si>
  <si>
    <t>Mērķdot.ped.algām 5-6 gad.</t>
  </si>
  <si>
    <t>1.vidussk.</t>
  </si>
  <si>
    <t>Ģimnāzija.</t>
  </si>
  <si>
    <t>Apstipr.mērķd.inter.izgl.</t>
  </si>
  <si>
    <t>Koriģētā mērķd.inter.izgl.</t>
  </si>
  <si>
    <t>Mūzikas  skola</t>
  </si>
  <si>
    <r>
      <t xml:space="preserve">Kods 12.3.0.0. “ </t>
    </r>
    <r>
      <rPr>
        <i/>
        <sz val="14"/>
        <rFont val="Times New Roman"/>
        <family val="1"/>
      </rPr>
      <t>Pārējie nenodokļu ieņēmumi</t>
    </r>
    <r>
      <rPr>
        <sz val="14"/>
        <rFont val="Times New Roman"/>
        <family val="1"/>
      </rPr>
      <t xml:space="preserve">” </t>
    </r>
  </si>
  <si>
    <t>10.70015</t>
  </si>
  <si>
    <t>Kredīta atmaksa        F40322220</t>
  </si>
  <si>
    <t>Līdzekļu atlikums uz gada beigām (Kases apgrozāmie līdzekļi)  F22010020</t>
  </si>
  <si>
    <t>Ģimnāzijai reģionālā metod.centra un pedagogu tālākizglītības centra darbības nodrošin. visp. izgl. iest. pedagogiem</t>
  </si>
  <si>
    <t>09.82032</t>
  </si>
  <si>
    <t>PII "Zelta sietiņš"</t>
  </si>
  <si>
    <t>PII "Ābelīte"</t>
  </si>
  <si>
    <t>PII "Cīrulītis"</t>
  </si>
  <si>
    <t>Sociālais dienests</t>
  </si>
  <si>
    <t>Informatīvi pasākumi uzņēmējiem</t>
  </si>
  <si>
    <t>6400</t>
  </si>
  <si>
    <t xml:space="preserve">Pašvaldības un tās iestāžu savstarpējie transferti </t>
  </si>
  <si>
    <t>Ieņēmumi no lauksaimnieciskās darbības</t>
  </si>
  <si>
    <t>07.4501</t>
  </si>
  <si>
    <t>08.2301</t>
  </si>
  <si>
    <t xml:space="preserve">    Kultūras aktivitātes / pasākumi</t>
  </si>
  <si>
    <t>Projekts Skolēnu autobusi (Soc.droš.tīkls)</t>
  </si>
  <si>
    <t>10.70003</t>
  </si>
  <si>
    <t>Sociālā dienesta asistentu pakalpojumi</t>
  </si>
  <si>
    <t>Zaudējumi no valūtas kursa svārstībām</t>
  </si>
  <si>
    <t>Aprūpes pakalpojumi</t>
  </si>
  <si>
    <t>01.83011</t>
  </si>
  <si>
    <t>01.83012</t>
  </si>
  <si>
    <t>01.83013</t>
  </si>
  <si>
    <t>03.2001</t>
  </si>
  <si>
    <t>04.11102</t>
  </si>
  <si>
    <t>04.11103</t>
  </si>
  <si>
    <t>04.4301</t>
  </si>
  <si>
    <t>05.30001</t>
  </si>
  <si>
    <t>05.4001</t>
  </si>
  <si>
    <t xml:space="preserve">Mājokļu attīstība </t>
  </si>
  <si>
    <t>06.2001</t>
  </si>
  <si>
    <t>06.60004</t>
  </si>
  <si>
    <t xml:space="preserve">       Projektu konkurss "Veidojam vidi ap mums Ogres novadā"</t>
  </si>
  <si>
    <t xml:space="preserve">      Pašvaldības teritoriju labiekārtošana</t>
  </si>
  <si>
    <t xml:space="preserve">       Kapu saimniecība</t>
  </si>
  <si>
    <t>07.2101</t>
  </si>
  <si>
    <t>08.29007</t>
  </si>
  <si>
    <t>10.70006</t>
  </si>
  <si>
    <t>Jauniešu garantijas ietvaros projekta "PROTI un DARI!" īstenošana</t>
  </si>
  <si>
    <t>09.8101</t>
  </si>
  <si>
    <r>
      <t xml:space="preserve">Kods 18.6.4.0. “ </t>
    </r>
    <r>
      <rPr>
        <i/>
        <sz val="14"/>
        <rFont val="Times New Roman"/>
        <family val="1"/>
      </rPr>
      <t xml:space="preserve">Pašvaldību budžetā saņemtā dotācija no pašvaldību finanšu izlīdzināšanas fonda </t>
    </r>
    <r>
      <rPr>
        <sz val="14"/>
        <rFont val="Times New Roman"/>
        <family val="1"/>
      </rPr>
      <t xml:space="preserve">” </t>
    </r>
  </si>
  <si>
    <t>Papildus aktivitātes  Ogres novada pašvaldības iestādēs (vasaras nometnes)</t>
  </si>
  <si>
    <t>08.29008</t>
  </si>
  <si>
    <t>06.60012</t>
  </si>
  <si>
    <t xml:space="preserve"> </t>
  </si>
  <si>
    <t xml:space="preserve">      SAM 9.2.4.2. Pasākumi vietējās sabiedrības slimību profilaksei un veselības veicināšanai</t>
  </si>
  <si>
    <t>08.2304</t>
  </si>
  <si>
    <t xml:space="preserve">    Kultūras centri - tautas nami</t>
  </si>
  <si>
    <t>08.300</t>
  </si>
  <si>
    <t>Apraides un izdevniecības pakalpojumi</t>
  </si>
  <si>
    <t>Ēdināšanas izmaksu kompensācijas</t>
  </si>
  <si>
    <t>Skolnieku pārvadājumi</t>
  </si>
  <si>
    <t>Bibliotēka</t>
  </si>
  <si>
    <t>09.82001</t>
  </si>
  <si>
    <t>Karjeras atbalsts vispārējās un profesionālās izglītības iestādēs</t>
  </si>
  <si>
    <t>Kods 21.1.0.0.  Budžeta iestādes ieņēmumi no ārvalstu finanšu palīdzības</t>
  </si>
  <si>
    <t>5100</t>
  </si>
  <si>
    <t>09.60010</t>
  </si>
  <si>
    <t>09.60020</t>
  </si>
  <si>
    <t>04.510010</t>
  </si>
  <si>
    <t>SAM 5,6,2, Degradētās teritorijas Pārogres industriālajā parkā revitalizācija</t>
  </si>
  <si>
    <t>2500</t>
  </si>
  <si>
    <t>Sākumskolas ERASMUS programmas 2. pamatdarbības starpskolu stratēģisko partnerību projekts "Kam ir bail no matemātikas"</t>
  </si>
  <si>
    <t>09.82041</t>
  </si>
  <si>
    <t>PA "Rosme" izdevumi</t>
  </si>
  <si>
    <t>Pielikumā PA "Rosme" budž. korekc.</t>
  </si>
  <si>
    <t>7200</t>
  </si>
  <si>
    <t>Atbalsts izglītojamo individuālo kompetenču attīstībai</t>
  </si>
  <si>
    <t>09.82039</t>
  </si>
  <si>
    <t>Suntažu internātpamatskola</t>
  </si>
  <si>
    <t>08.2101</t>
  </si>
  <si>
    <t>Ogres un Ogresgala atlikums uz gada beigām</t>
  </si>
  <si>
    <t>09.82042</t>
  </si>
  <si>
    <t>8.3.0.0.</t>
  </si>
  <si>
    <t>Īeņēmumi no dividendēm</t>
  </si>
  <si>
    <t>21.3.4.0.</t>
  </si>
  <si>
    <t>03.6002</t>
  </si>
  <si>
    <t>Atskurbtuves pakalpojumiem</t>
  </si>
  <si>
    <t>Projektu pieteikumu, tehniskās dokumentācijas, topogrāfiju izstrāde un vides ekspertīzes, energoaudits</t>
  </si>
  <si>
    <t>04.11116</t>
  </si>
  <si>
    <t>Ogres novadnieka karte</t>
  </si>
  <si>
    <t>08.2204</t>
  </si>
  <si>
    <t>08.2303</t>
  </si>
  <si>
    <t>08.3101</t>
  </si>
  <si>
    <t>08.3301</t>
  </si>
  <si>
    <t>08.4001</t>
  </si>
  <si>
    <t>Erasmus programmas projekts Digitālās kompetences darba tirgū jauniešiem</t>
  </si>
  <si>
    <t>10.70016</t>
  </si>
  <si>
    <t>ERAF "Pakalpojumu infrastruktūras attīstība deinstitualizācijas plānu īstenošanai"</t>
  </si>
  <si>
    <t>Pašvaldību atmaksa valsts budžetam par iepriekšējos gados saņemto, bet neizlietoto valsts budžeta transfertu uzturēšanas izdevumiem</t>
  </si>
  <si>
    <t>Mērķdotācija</t>
  </si>
  <si>
    <t>Tūrisma informācijas centrs</t>
  </si>
  <si>
    <t>01.8201</t>
  </si>
  <si>
    <t>09.82002</t>
  </si>
  <si>
    <t>Atbalsts priekšlaicīgas mācību pārtraukšanas samazināšanai (Pumpurs)</t>
  </si>
  <si>
    <t>Projektu konk. "Veidojam vidi ap mums"</t>
  </si>
  <si>
    <t>Projekta nosaukums</t>
  </si>
  <si>
    <t xml:space="preserve">Palielinās Valsts kasei atgriežamais kredīts </t>
  </si>
  <si>
    <t>09.82045</t>
  </si>
  <si>
    <t>Ogres 1. vidusskolas ERASMUS programmas 1. pamatdarbības mobilitātes projekts "No vārdiem pie darbiem: mūsdienīgu lietpratību veicinoša skola"</t>
  </si>
  <si>
    <t>04.7301</t>
  </si>
  <si>
    <t>Peldbaseins "Neptūns"</t>
  </si>
  <si>
    <t>08.10004</t>
  </si>
  <si>
    <t>07.4502</t>
  </si>
  <si>
    <t>06.60022</t>
  </si>
  <si>
    <t>10.70007</t>
  </si>
  <si>
    <t>Sociālo pakalpojumu atbalsta sistēmas pilnveide</t>
  </si>
  <si>
    <t>06.60022 3200</t>
  </si>
  <si>
    <t xml:space="preserve">     Veselības veicināšanas pasākumiem</t>
  </si>
  <si>
    <t>Veselības veicināšanas pasākumiem</t>
  </si>
  <si>
    <t>PA "Ogres komunikācijas" izdevumi</t>
  </si>
  <si>
    <t>PA "Ogres komunikācijas" finansējums</t>
  </si>
  <si>
    <t xml:space="preserve">Finansējums PA "Ogres komunikācijas" </t>
  </si>
  <si>
    <t>PA Ogres komunikācijas atlikums uz gada beigām</t>
  </si>
  <si>
    <t>Energoefektivitātes pasākumi</t>
  </si>
  <si>
    <t>Krājumi, materiāli,energoresursi, preces</t>
  </si>
  <si>
    <t xml:space="preserve">05.1001 </t>
  </si>
  <si>
    <t>SIA Ogres namsaimnieks finansējums domes deliģēto funkciju izpildei</t>
  </si>
  <si>
    <t>SIA Ogres namsaimnieks  pamatkapitāla palielināšanai</t>
  </si>
  <si>
    <t>21.3.6.0.</t>
  </si>
  <si>
    <t>Ieņēmumi par  dokumentu izsniegšanu un kancelejas pakalpojumiem</t>
  </si>
  <si>
    <t>F40 32 00 10</t>
  </si>
  <si>
    <t>01.6001</t>
  </si>
  <si>
    <t>Finansējums Ogres un Ikšķiles PA "Tūrisma, sporta un atpūtas kompleksa "Zilie kalni"attīstības aģentūra"</t>
  </si>
  <si>
    <t>Projektu pieteikumu izstrāde, tehniskās dokumentācijas sagatavošana</t>
  </si>
  <si>
    <t>04.11118</t>
  </si>
  <si>
    <t>LAD projekts Suntažu tirgus laukuma izveide</t>
  </si>
  <si>
    <t>04.2102</t>
  </si>
  <si>
    <t xml:space="preserve">Centrālās Baltijas jūras reģiona programmas projekts "Nordic urban planning:  holistic approach for extreme weather" (NOAH) </t>
  </si>
  <si>
    <t>Novērst plūdu un krasta erozijas risku apdraudējumu Ogres pilsētas teritorijā, veicot vecā aizsargdambja pārbūvi un jauna aizsargmola (straumvirzes) būvniecību pie Ogres upes ietekas Daugavā</t>
  </si>
  <si>
    <t>04.51015</t>
  </si>
  <si>
    <t>Parka ielas pārbūve</t>
  </si>
  <si>
    <t>Ielu tīrīšanai, atkritumu savākšanai,teritoriju labiekārtošanai</t>
  </si>
  <si>
    <t>05.30002</t>
  </si>
  <si>
    <t>Siltumnīcefekta gāzu emisiju samazināšana izbūvējot Ogres Centrālo bibliotēkas ēku</t>
  </si>
  <si>
    <t>06.3001</t>
  </si>
  <si>
    <t>Vispārējie ūdens apgādes izdevumi</t>
  </si>
  <si>
    <t>Dabas un bioloģiskās daudzveidības saglabāšanas un aizsardzības pasākumi īpaši aizsargājamajā dabas teritorijā "Ogres ieleja"</t>
  </si>
  <si>
    <t>Nevalstisko organizāciju projektu atbalstam</t>
  </si>
  <si>
    <t>06.60015</t>
  </si>
  <si>
    <t>Viedo tehnoloģiju ieviešana Ogres pilsētas apgaismojuma sistēmā</t>
  </si>
  <si>
    <t>08.220</t>
  </si>
  <si>
    <t xml:space="preserve">    Kultūras centri, nami</t>
  </si>
  <si>
    <t xml:space="preserve">    Komunikāciju centrs Ķeipenē</t>
  </si>
  <si>
    <t>Kultūras mantojuma saglabāšana un attīstība Daugavas ceļā</t>
  </si>
  <si>
    <t>08.29012</t>
  </si>
  <si>
    <t>09.82003</t>
  </si>
  <si>
    <t>Latvijas Skolas Soma</t>
  </si>
  <si>
    <t>09.82004</t>
  </si>
  <si>
    <t xml:space="preserve">Erasmus + programmas projekts Nr.2018-1-FR01-KA229-047933 3 (ģimnāzija) </t>
  </si>
  <si>
    <t>09.82005</t>
  </si>
  <si>
    <t xml:space="preserve">Erasmus + programmas projekts Nr.2018-1-PT01-KA229-047540 6 (ģimnāzija) </t>
  </si>
  <si>
    <t>09.82006</t>
  </si>
  <si>
    <t>Erasmus + programmas projekts Nr.2018-1-TR01-KA229-059950 3. Angļu valodas apguve (ģimnāzija)</t>
  </si>
  <si>
    <t>09.82009</t>
  </si>
  <si>
    <t>Erasmus + programmas projekts Nr.2018-1-ES01-KA229-050191 3. Kultūra uz skatuves (ģimnāzija)</t>
  </si>
  <si>
    <t>09.82010</t>
  </si>
  <si>
    <t>Sadarbībā ar Rīgas tehnisko universitāti, Māturības un tehnoloģju mācību kabineta aprīkošanā 1. vidusskolā</t>
  </si>
  <si>
    <t>8.1.2.SAM "Uzlabot vispārējās izglītības iestāžu mācību vidi Ogres novadā"</t>
  </si>
  <si>
    <t>Pārējās izglītības iestāžu pedagogu profesionālās kompetences  pilnveide (Ģimnāzija)</t>
  </si>
  <si>
    <t>09.82046</t>
  </si>
  <si>
    <t xml:space="preserve">Erasmus + programmas projekts Nr.2018-1-EE01-KA229-047133 4 Darbīgās bites (Dzīpariņš) </t>
  </si>
  <si>
    <t>10.70009</t>
  </si>
  <si>
    <t>Konkurss Vides pieejamības nodrošināšana invalīdiem</t>
  </si>
  <si>
    <t>ES projekts "Deinstitucionalizācija un sociālie pakalpojumi personām ar invaliditāti un bērniem"</t>
  </si>
  <si>
    <t>F22010020</t>
  </si>
  <si>
    <t>Pieprasījuma noguldījuma izņemšana</t>
  </si>
  <si>
    <t>F55 01 00 11</t>
  </si>
  <si>
    <t>SIA MS siltums  pamatkapitāla palielināšanai (katlumāju rekonstrukcija) ; PSIA "Labs nams" pamatkapitāls</t>
  </si>
  <si>
    <t>Kapitālo izdevumu transferti</t>
  </si>
  <si>
    <t>Budžeta atlikums uz 01.01.2019.</t>
  </si>
  <si>
    <t>Ogresgala pamtskola</t>
  </si>
  <si>
    <t>Par Madlienas transporta izmantošanu bāriņtiesas darba nodrošināšanai</t>
  </si>
  <si>
    <t>06.60024</t>
  </si>
  <si>
    <t>Vides aizsardzības proj. "Lobes ezera apsaimniekošanas plāna izstrāde"</t>
  </si>
  <si>
    <t>PII "Strautiņš"</t>
  </si>
  <si>
    <t>Ogres valsts ģimnāzija</t>
  </si>
  <si>
    <t>01.1101</t>
  </si>
  <si>
    <t>VF</t>
  </si>
  <si>
    <t>PF</t>
  </si>
  <si>
    <t>Par atskurbtuves pakalpojumu sniegšanu</t>
  </si>
  <si>
    <t>Ieņēmumi no VKKF proj. "Materiāli tehniskās bāzes uzlabošana Ogres mākslas skolā" īstenošanai</t>
  </si>
  <si>
    <t>LR Izglītības un zinātnes ministrija - Ģimnāzijai reģionālā metodiskā centra un pedagogu tālākizglītības centra darbības nodrošināšanai, visp. izglīt. atbalsta pasāk. un pedagogu profesionālās kompetences pilnveidošanai</t>
  </si>
  <si>
    <t>Sporta centram pedagogu darba samaksai un soc.apdr.iem.</t>
  </si>
  <si>
    <t>Basketbolskolai pedagogu darba samaksai un soc.apdr.iem.</t>
  </si>
  <si>
    <t>18.6212</t>
  </si>
  <si>
    <r>
      <t>18.6</t>
    </r>
    <r>
      <rPr>
        <sz val="11"/>
        <color indexed="8"/>
        <rFont val="Times New Roman"/>
        <family val="1"/>
      </rPr>
      <t>216</t>
    </r>
  </si>
  <si>
    <t>Funkcija 06.60006 Proj. Veidojam vidi ap mums</t>
  </si>
  <si>
    <t>Ogres valsts Ģimnāzijas Erasmus programmas projekts2018-1-TR01-KA229-059950 3</t>
  </si>
  <si>
    <t>Kods 21.3.9.0. "Ieņēmumi par pārējiem budžeta iestāžu maksas pakalpojumiem"</t>
  </si>
  <si>
    <t>Baltijas jūras sadarbības programmas projekts NOAH</t>
  </si>
  <si>
    <t>LAD projekts "Ogresgala Tautas nama laukuma labiekārtošana" Nr.19-04-AL02-A019.2202-000006.</t>
  </si>
  <si>
    <t>08.29022</t>
  </si>
  <si>
    <t>Erasmus+programmas projekts "ALLready a Success to School Life" (Pilnībā gatavs veiksmei skolā) Nr.2018-1-TR01-KA201-059716.Sākumsk.</t>
  </si>
  <si>
    <t>09.82011</t>
  </si>
  <si>
    <t>Erasmus programmas projekts Kipra "Digitālās kompetences darba tirgū jauniešiem ar ierobežotām iespējām" Nr.2017-1-DE04-KA205-015273</t>
  </si>
  <si>
    <t>Sociālo pakalpojumu atbalsta sistēmas pilnveide projekta (GRT) Nr.9.2.2.2/16/I/001.</t>
  </si>
  <si>
    <t>10.70011</t>
  </si>
  <si>
    <t>“Deinstitucionalizācija un sociālie pakalpojumi personām ar invaliditāti un bērniem”. Projekta identifikācijas Nr.9.2.2.1./15/I/002</t>
  </si>
  <si>
    <r>
      <t>Kods 17.2.0.0.</t>
    </r>
    <r>
      <rPr>
        <i/>
        <sz val="14"/>
        <rFont val="Times New Roman"/>
        <family val="1"/>
      </rPr>
      <t xml:space="preserve"> Pašvaldību saņemtie transferti no valsts budžeta daļēji finansētām atvasinātām publiskām personām un no budžeta nefinansētām iestādēm</t>
    </r>
  </si>
  <si>
    <t>18.6210</t>
  </si>
  <si>
    <t>Pielikumā PA "Ogres komunikācijas" budž. korekc.</t>
  </si>
  <si>
    <t>Pielikumā PA ONKC budžeta korekcijas</t>
  </si>
  <si>
    <t>Koriģētā mērķd.speciālajā gr.</t>
  </si>
  <si>
    <t>Pamata un vispārējās izglītības iestāžu pedagogu darba samaksai un soc.apdr.iem.</t>
  </si>
  <si>
    <t>Interešu izglītības iestāžu pedagogu darba samaksi un soc.apdr.iem.</t>
  </si>
  <si>
    <t>Izglītības iestāžu 5-6 gadīgo bērnu apmācības pedagogu darba samaksai un soc.apdr.iem.</t>
  </si>
  <si>
    <t>18.6201</t>
  </si>
  <si>
    <t>18.6203</t>
  </si>
  <si>
    <t xml:space="preserve"> Madl. pans.</t>
  </si>
  <si>
    <t>Ogres novada pašvaldības domes</t>
  </si>
  <si>
    <t>Suntažu pamatskola - rehabilitācijas centrs</t>
  </si>
  <si>
    <t xml:space="preserve">Pielikumā PA "Ogres komunikācijas" budž. korekc. </t>
  </si>
  <si>
    <t>Vienošanās ar Sporta c.- pārcelts finans.par transporta izmantošanu sportistu pārvadāšanai dalībai sacensībās</t>
  </si>
  <si>
    <t>Projekts Pumpurs</t>
  </si>
  <si>
    <t>Ēdināšanas izdevumi</t>
  </si>
  <si>
    <t>Bezdarbnieku stipendijas</t>
  </si>
  <si>
    <t>Projekts "Atbalsts izglītojamo individuālo kompetenču attīstībai"</t>
  </si>
  <si>
    <t>Naudas balvas</t>
  </si>
  <si>
    <t xml:space="preserve">Ogres un Ogresgala 2020.g. budžets </t>
  </si>
  <si>
    <t>Pašvald. aģentūras "Ogres komunikācijas" 2020.g. budžets</t>
  </si>
  <si>
    <t>Pašvald. aģentūras "Kultūras centrs" 2020.g. budžets</t>
  </si>
  <si>
    <t>Pašvald. aģentūras "Rosme" 2020.g. budžets</t>
  </si>
  <si>
    <t>Suntažu pagasta pārvaldes 2020.g. budžets</t>
  </si>
  <si>
    <t>Lauberes pagasta pārvaldes 2020.g. budžets</t>
  </si>
  <si>
    <t>Ķeipenes pagasta pārvaldes 2020.g. budžets</t>
  </si>
  <si>
    <t>Madlienas pagasta pārvaldes 2020.g. budžets</t>
  </si>
  <si>
    <t>Krapes pagasta pārvaldes 2020.g. budžets</t>
  </si>
  <si>
    <t>Mazozolu pagasta pārvaldes 2020.g. budžets</t>
  </si>
  <si>
    <t>Meņģeles pagasta pārvaldes 2020.g. budžets</t>
  </si>
  <si>
    <t>Taurupes pagasta pārvaldes 2020.g. budžets</t>
  </si>
  <si>
    <t>Ogres novada pašvaldības 2020.g. budžets</t>
  </si>
  <si>
    <t>5.5.3.0.</t>
  </si>
  <si>
    <t>8.9.0.0.</t>
  </si>
  <si>
    <t>Pārējie finanšu ieņēmumi</t>
  </si>
  <si>
    <t>12.0.0.0.</t>
  </si>
  <si>
    <t>Procentu ieņēmumi par maksas pakalpojumiem un pašu ieguldījumiem depozītā</t>
  </si>
  <si>
    <t>Budžeta  atl.uz  01. 01. 2020.g.        F22010010</t>
  </si>
  <si>
    <t xml:space="preserve">   Vispārējie lauksaimniecības izdevumi</t>
  </si>
  <si>
    <t xml:space="preserve">   Novērst plūdu un krasta erozijas risku apdraudējumu Ogres pilsētas teritorijā, veicot vecā aizsargdambja pārbūvi un jauna aizsargmola (straumvirzes) būvniecību pie Ogres upes ietekas Daugavā</t>
  </si>
  <si>
    <t>04.51002</t>
  </si>
  <si>
    <t>04.51003</t>
  </si>
  <si>
    <t xml:space="preserve">     Grants ceļu bez cietā seguma posmu pārbūve Ogres novadā</t>
  </si>
  <si>
    <t>04.51016</t>
  </si>
  <si>
    <t>04.51017</t>
  </si>
  <si>
    <t>04.51018</t>
  </si>
  <si>
    <t>Iekārtā (gājēju) tilta pār Ogres upi teritorijā starp J.Čakstes pr. Un Ogres ielu Ogrē, būvniecība</t>
  </si>
  <si>
    <t xml:space="preserve">      Koncesija atkritumu apsaimniekošana</t>
  </si>
  <si>
    <t xml:space="preserve">       Lietus ūdens kanalizācija </t>
  </si>
  <si>
    <t xml:space="preserve">       Notekūdeņu (savākšana un attīrīšana)</t>
  </si>
  <si>
    <t xml:space="preserve">   Bioloģiskās daudzveidības un ainavas aizsardzība</t>
  </si>
  <si>
    <t xml:space="preserve">       mājokļu apsaimniekošana</t>
  </si>
  <si>
    <t xml:space="preserve">       siltumapgāde</t>
  </si>
  <si>
    <t xml:space="preserve">       kapu saimniecība</t>
  </si>
  <si>
    <t xml:space="preserve">      Īpašumu uzmērīšanai un reģistrēšanai Zemesgrāmatā</t>
  </si>
  <si>
    <t xml:space="preserve">      Pārējie izdevumi</t>
  </si>
  <si>
    <t xml:space="preserve">      Nevalstisko organizāciju projektu atbalstam</t>
  </si>
  <si>
    <t xml:space="preserve">      Saimniecības nodaļa</t>
  </si>
  <si>
    <t>06.60025</t>
  </si>
  <si>
    <t>06.60026</t>
  </si>
  <si>
    <t>Ogres bijušās sanatorijas ieejas vestibils</t>
  </si>
  <si>
    <t>06.60027</t>
  </si>
  <si>
    <t>Sūkņu stacijas projektēšana</t>
  </si>
  <si>
    <t>06.60028</t>
  </si>
  <si>
    <t>Jauniešu mājas būvprojekta izstrāde</t>
  </si>
  <si>
    <t xml:space="preserve">    Sudrabu Edžus memoriālā istabs</t>
  </si>
  <si>
    <t xml:space="preserve">    Pensionēto izglītības darbinieku pasāk.</t>
  </si>
  <si>
    <t>08.29004</t>
  </si>
  <si>
    <t xml:space="preserve">    Dalībai dziesmu un deju svētkos</t>
  </si>
  <si>
    <t xml:space="preserve">    Papildus aktivitātes  Ogres novada pašvaldības iestādēs (vasaras nometnes)</t>
  </si>
  <si>
    <t xml:space="preserve">       Projektu konkurss RADI Ogres novadam (Kultūras, sporta un izglītības pasākumi, mācības, kursi)</t>
  </si>
  <si>
    <t>Zaļā tūrisma ceļu attīstība Latvijas un Krievijas pierobežas reģionā ” Greenways (Zaļais ceļš Rīga – Pleskava)LV-RU-006</t>
  </si>
  <si>
    <t>Finansējums bērniem, kuri apmeklē privātās pirmsskolas izglītības iestādes</t>
  </si>
  <si>
    <t>Suntažu pamatskola rehabilitācijas centrs</t>
  </si>
  <si>
    <t>09.810</t>
  </si>
  <si>
    <t>Pārējā izglītības vadība (Izglītības pārvalde)</t>
  </si>
  <si>
    <t xml:space="preserve">     Projekts Skolēnu autobusi (Šveice)</t>
  </si>
  <si>
    <t xml:space="preserve">      8.1.2.SAM "Uzlabot vispārējās izglītības iestāžu mācību vidi Ogres novadā"</t>
  </si>
  <si>
    <t>10.400</t>
  </si>
  <si>
    <t>10.500</t>
  </si>
  <si>
    <t xml:space="preserve">       ES projekts "Deinstitucionalizācija un sociālie pakalpojumi personām ar invaliditāti un bērniem"</t>
  </si>
  <si>
    <t>Ogres novada pašvaldības 2020.gada pamatbudžeta ieņēmumi.</t>
  </si>
  <si>
    <t>Ogres novada pašvaldības 2020. gada pamatbudžeta  izdevumi atbilstoši funkcionālajām kategorijām.</t>
  </si>
  <si>
    <t>Ogres novada pašvaldības 2020. gada pamatbudžeta  izdevumi atbilstoši ekonomiskajām kategorijām.</t>
  </si>
  <si>
    <t>Procentu maksājumi iekšzemes kredītiestādēm</t>
  </si>
  <si>
    <t>Starptautiskā sadarbība</t>
  </si>
  <si>
    <t>Pārējie iepriekš neuzskaitītie budžeta izdevumi, kas veidojas pēc uzkrāšanas principa un nav uzskaitīti citos 8000 apakškodos</t>
  </si>
  <si>
    <t>2020.gada koriģētās mērķdotācijas izglītības iestāžu pedagoģisko darbinieku darba samaksai un sociālās apdrošināšanas oblidātajām iemaksām.</t>
  </si>
  <si>
    <t>SKOLAS  2020.g.koriģētie izdevumi.</t>
  </si>
  <si>
    <t>PII koriģētie izdevumi    2020.gadā</t>
  </si>
  <si>
    <t>2020.g. interešu izglītībai koriģētie izdevumi.</t>
  </si>
  <si>
    <t>2020.g. profesionālās ievirzes izglītības iestāžu koriģētie izdevumi.</t>
  </si>
  <si>
    <t>2020.g. mērķdotācija tautas kolektīvu vadītājiem.</t>
  </si>
  <si>
    <t>2020.g. mērķdotācija Suntažu internātskolas finansēšanai un līdz 5 gadu vecumam PII "Zelta sietiņš" speciālajā grupā</t>
  </si>
  <si>
    <t>Informācija par papildus izdevumu segšanai pieprasītajiem līdzekļiem 2020.gada budžeta grozījumos</t>
  </si>
  <si>
    <t>Ogres novada  2020.gada budžeta ieņēmumu grozījumi.</t>
  </si>
  <si>
    <t xml:space="preserve">Ogres un Ogresgala 2020.g. budžeta korekc. </t>
  </si>
  <si>
    <t>Pašvald. aģentūras "Ogres komunikācijas" 2020.g. budž.korekc.</t>
  </si>
  <si>
    <t>Pašvald. aģentūras "Kultūras centrs" 2020.g.korekc.</t>
  </si>
  <si>
    <t>Pašvald. aģentūras "Rosme" 2020.g.korekc.</t>
  </si>
  <si>
    <t>Ieņēmumi no VKKF proj.  "Voldemāra Jāņkalniņa gleznu kolekcijas iegāde"</t>
  </si>
  <si>
    <t>Ieņēmumi no VKKF Timpānu iegādei</t>
  </si>
  <si>
    <t>Ieņēmumi no VKKF proj. "Mazie literatūras noslēpumi"</t>
  </si>
  <si>
    <t>Valsts nodeva par apelācijas sūdzību civillietā</t>
  </si>
  <si>
    <t>Gultiņu, veļas automāta vērtība kā mazvērtīgam inventāram</t>
  </si>
  <si>
    <t>Par pārtikas pakām 4 Rīgā deklarētajiem Suntažu pamatsk. rehab. c. izglītojamiem</t>
  </si>
  <si>
    <t>09.600139</t>
  </si>
  <si>
    <t>Ēdināšana Ogres skolās</t>
  </si>
  <si>
    <t>EUR 1131 pārcelts no pakalpojumiem-naudas balvas skolēniem par labiem sasniegumiem sportā</t>
  </si>
  <si>
    <t>Lēmums- Madlienas v-sk. Krapes filiāles sanitāro mezglu rekonstr., tualešu kabīņu izbūvei</t>
  </si>
  <si>
    <t>6500</t>
  </si>
  <si>
    <t>Kompensācijas kuras izmaksā personām</t>
  </si>
  <si>
    <t>10.4001</t>
  </si>
  <si>
    <t>Mērķdotācija jaunizveidojamā novada pašvaldības administratīvās struktūras projekta izstrādei</t>
  </si>
  <si>
    <t>08.29023</t>
  </si>
  <si>
    <t>Brīvdabas skatuves būvniecība  un laukuma labiekārtošana Meņģelē</t>
  </si>
  <si>
    <t>EUR 70 446 gaismas instalācijas izbūve gājēju tiltam, EUR 605 tilta izgaismošanas tehniskajam risinājumam</t>
  </si>
  <si>
    <t>zvērināta advokāta palīdzības samaksas kompensācija civillietā</t>
  </si>
  <si>
    <t>EUR 55 440 pabalstiem krīzes situācijā no neparedz. gadīj.; EUR 5447 pārcelts uz Soc. dien. garāžas jumta rem.</t>
  </si>
  <si>
    <t>09.5107</t>
  </si>
  <si>
    <t>Ogres Mūzikas un mākslas skola</t>
  </si>
  <si>
    <t>Ogres Mūzikas skola un mākslas skola</t>
  </si>
  <si>
    <t>Pārcelts uz nodevām un kompensācijām par zvērināta advokāta pakalpoj.</t>
  </si>
  <si>
    <t>Projekts "Atbalsts izglītojamo individuālo kompetenču attīstībai" 09.82039</t>
  </si>
  <si>
    <t>Finansējums projektam Pumpurs 09.82002</t>
  </si>
  <si>
    <t>Papildus aktivitātes  Ogres novada pašvaldības iestādēs (vasaras nometnes) 08.29007</t>
  </si>
  <si>
    <t>EUR 20493 pārcelts uz pagastu pārvaldēm</t>
  </si>
  <si>
    <t>EUR 8915 pārcelts uz pagastu pārvaldēm</t>
  </si>
  <si>
    <t>04.51021</t>
  </si>
  <si>
    <t>Gājēju tuneļa apgaismojuma ierīkošana Upes pr. 19 un Skolas iela 18, Ogrē</t>
  </si>
  <si>
    <t>Pārcelts uz Sporta centra budžetu par darbu skolēnu vasaras brīvlaikā</t>
  </si>
  <si>
    <t>04.51019</t>
  </si>
  <si>
    <t>Gājēju ceļa izbūve Jaunogres prospekta posmā no Baldones ielas līdz Raiņa prospektam, Ogrē</t>
  </si>
  <si>
    <t>Bērnu galdi, krēsli, smilšu kaste</t>
  </si>
  <si>
    <t>Ieviešot e-klasi nepieciešams papildus datortehnikai</t>
  </si>
  <si>
    <t>EUR 540 no VKKF projektam "Mazie literatūras noslēpumi"</t>
  </si>
  <si>
    <t>EUR -1 657 pārcelts uz TIC budžetu Pepper robota prezentēšanai Balttour 2020 izstādes laikā un EUR 101 papildus bibliobusa iagādei</t>
  </si>
  <si>
    <t>Pārcelts no pakalpojumiem, apmācības noformētas kā komandējums</t>
  </si>
  <si>
    <t>Madlienas vidusskolas Krapes filiāles izdevumu atlikums</t>
  </si>
  <si>
    <t xml:space="preserve">B-ba "Latvijas Futbola federācija" piešķir Ogres Sporta centram </t>
  </si>
  <si>
    <t>Pārcelts uz datortehnikas iegādi un krājumiem</t>
  </si>
  <si>
    <t>No pakalpojumiem pārcelts uz biroja precēm, mēbelēm un uzturēšanas materiāliem.</t>
  </si>
  <si>
    <t xml:space="preserve"> Papildus finansējums par "Riekstiņa" grupas darbu jūlija mēnesī 2 pirmsskolas skolotāju algas  2x775 un skolotāja palīga 500 EUR</t>
  </si>
  <si>
    <t>2400</t>
  </si>
  <si>
    <t>Izdevumi periodikas iegādei bibliotēku krājumiem</t>
  </si>
  <si>
    <t>Atlikumi pārcelti uz Mūzikas un mākslas skolas budžetu</t>
  </si>
  <si>
    <t>Vienošanās ar Madlienu</t>
  </si>
  <si>
    <t>Vienošanās ar Lauberi</t>
  </si>
  <si>
    <t>11.02.2020.vienošanās ar Madlienas pansionātu-klienta pārvešana</t>
  </si>
  <si>
    <t>Mūzikas un mākslas skola</t>
  </si>
  <si>
    <t>No datortehnikas uz mazvērtīgo inventāru un no pakalpojumiem uz kapitālo rem.</t>
  </si>
  <si>
    <t>No datortehnikas uz mazvērtīgo inventāru</t>
  </si>
  <si>
    <t>pabalstos pārsniegta plānotā summa</t>
  </si>
  <si>
    <t>ietaupījums biroja precēs un skolas uzturēšanas materiālos</t>
  </si>
  <si>
    <t>Skolas akreditācijas izdevumiem</t>
  </si>
  <si>
    <t>Remontdarbiem</t>
  </si>
  <si>
    <t>No līgumdarbiem uz pakalpojumiem</t>
  </si>
  <si>
    <t>Papildus datoriem</t>
  </si>
  <si>
    <t>Finansējums Pierīgas partnerības ietvaros rīkotajām mārketinga aktivitātēm pārcelts no pakalojumiem</t>
  </si>
  <si>
    <t>Planšetes, VR brilles (inventārs Balltour izstādei) pārcelts no pamatlīdzekļu koda</t>
  </si>
  <si>
    <t>Izstādes prezentēšanai Balttour 2020 izstādes laikā ieplānotie izdevumi pārcelti no pamatlīdz.</t>
  </si>
  <si>
    <t>Pārcelts uz remontdarbiem</t>
  </si>
  <si>
    <t>Remontdarbu izmaksu pārsniegums pār plānoto</t>
  </si>
  <si>
    <t>Plānots iegādāties materiālus izglītojošām nodarbībām-lokāmus ēku modeļus</t>
  </si>
  <si>
    <t>Nav īstenotas ieplānotās aktivitātes</t>
  </si>
  <si>
    <t>Biroja precēm</t>
  </si>
  <si>
    <t>Ietaupīti līdzekļi komunālos pak.</t>
  </si>
  <si>
    <t>EUR 2 000 no Izglītības pārvaldes budžeta interešu izglītības pakalpoj. nodrošināšanai un pārējais pārcelts no pakalpojumiem</t>
  </si>
  <si>
    <t>Uz mazvērtīgo inventāru</t>
  </si>
  <si>
    <t>Nav īstenotas ieplānotās aktivitātes, pārcelts uz saimniecības precēm</t>
  </si>
  <si>
    <t>EUR 3 749 ieņēmumi no IZM, finansējums metodiskā centra funkciju nodrošināšanai, EUR 700 pārcelts uz Ģimnāzijas budžetu</t>
  </si>
  <si>
    <t>EUR 700 pārcelts no proj. metodiskā centra funkciju nodrošināšanai</t>
  </si>
  <si>
    <t>Portatīvais dators</t>
  </si>
  <si>
    <t>Pēc tiesas sprieduma kompensācija personai par samaksāto valsts nodevu</t>
  </si>
  <si>
    <t>Daļa mācību braucieni noformēti kā komandējumi</t>
  </si>
  <si>
    <t>Daļa mācību bija ieplānotas kā pakalpojumi, bet noformēti kā komandējumi</t>
  </si>
  <si>
    <t>Iekšējas korekcijas nenotikušo pasākumu dēļ ietaupītie līdzekļi novirzīti uz mazvērtīgo inventāru un pamatlīdz., kas nepieciešams citu pasākumu rīkošanai</t>
  </si>
  <si>
    <t>Kanalizāc. avārijas novēršana pie gājēju tuneļa, pielikumā PA "Ogres komunikācijas" budž. korekc.</t>
  </si>
  <si>
    <t>29.04.2020. Ogres novada pašvaldības rīkojums Nr. S/64 Par izglītojamo apbalvošanu ar naudas balvām</t>
  </si>
  <si>
    <t>EUR 2050 pārcelts no Izglītības pārvaldes  naudas balvas izglītojamajiem par labām sekmēm</t>
  </si>
  <si>
    <t>Samazinātas 2 naktssargu štata vienības</t>
  </si>
  <si>
    <t>Nav paredzēti komandējumi</t>
  </si>
  <si>
    <t>Ietaupīts par licencēm</t>
  </si>
  <si>
    <t>Ietaupīti līdzekļi komunālos pak., uzturēšanas izdevumos un pārcelts uz remontmateriālu iegādi, un EUR -135 par PA "Ogres komunikācijas" pakalpojumu</t>
  </si>
  <si>
    <t>EUR 5 000 B-ba "Latvijas Futbola federācija" piešķir Ogres Sporta centram</t>
  </si>
  <si>
    <t>Pārcelts uz mazvērtīgo invent.</t>
  </si>
  <si>
    <t>Atlaišanas pabalsti</t>
  </si>
  <si>
    <t>Uzturēšanas izdevumi septembris-decembris</t>
  </si>
  <si>
    <t>Pārcelts no Izglītības pārvaldes  naudas balvas izglītojamajiem par labām sekmēm</t>
  </si>
  <si>
    <t xml:space="preserve"> Pārcelts no kapitālā remonta uz parasto rem., ūdensvada avārija</t>
  </si>
  <si>
    <t>EUR 170 pārcelts no Izglītības pārvaldes  naudas balvas izglītojamajiem par labām sekmēm</t>
  </si>
  <si>
    <t>EUR 10 200 portatīvo datoru iegādei Taurupes, Ķeipenes un Ogresgala pamatskolām pārcelts uz civilās aizsardz.funkc. Covid-19 izplatības ierobežošanas pasāk. un EUR 2 000 uz Jaunogres vidusskolu interešu izglītības pakalpoj. nodrošināšanai un EUR 5 570 uz skolām naudas balvas par labām sekmēm mācībās</t>
  </si>
  <si>
    <t>Uzstādīta apsardzes sistēma, pārcelts no mazvērtīgā invent. -apmaksāti podesti, digitālās klavieres mūzikas klasei</t>
  </si>
  <si>
    <t>Pārcelts no pakalpojumiem uz remontmateriāliem un no mazvērtīgā invent. uz pamatlīdzekļiem</t>
  </si>
  <si>
    <t>B-ba "Latvijas Sporta federācijas padome" projektu konkurss</t>
  </si>
  <si>
    <t>Par PA Ogres komunikācijas pakalpojumu</t>
  </si>
  <si>
    <t>Āra laukumiņu atribūtikas iegāde</t>
  </si>
  <si>
    <t>Grupām bērnu krēsliņu un galdu iegāde, žalūzijas, mēbeļu iegāde metodiskajam kabinetam un āra laukumiņu inventāra iegāde</t>
  </si>
  <si>
    <t>6300</t>
  </si>
  <si>
    <t>Pārcelts uz kapitālo rem. Skolas telpas sagatavošana lietošanai kā sporta zāle</t>
  </si>
  <si>
    <t>Cenu pieaugums</t>
  </si>
  <si>
    <t>2019.gadā papildus noslēgts līgums ar SIA PRO VIA par projekta izmaiņu būvekspertīzi</t>
  </si>
  <si>
    <t>Noslēgta vienošanās ar CFLA par projekta neattiecināmo izmaksu palielināšana</t>
  </si>
  <si>
    <t>Neatbilstība budžetā un papildus izmaksas saistītas ar to, ka lokālajā tāmē pie norādītajiem būvdarbu apjomiem tērauda konstrukciju apjoms pilona, krasta balstu un enkurbalstu konstrukcijām tika uzrādīts tikai vienam balstam. Reāli tiltam ir divi balsti.</t>
  </si>
  <si>
    <t>Ogres bijušās sanatorijas ieejas vestibila atjaunošana</t>
  </si>
  <si>
    <t>Dabas parka "Ogres zilie kalni" - dabas pētniecības un rotaļu centrs</t>
  </si>
  <si>
    <t>Projekts netiks realizēts, 354581 pašvaldības finansējums un 400000 Valsts mežu finansējums</t>
  </si>
  <si>
    <t>Pārcelts uz sanatorijas vestibila atjaunošanu</t>
  </si>
  <si>
    <t>Šogad izdevumiem paredzētie naudas līdzekļi būs nepieciešami elektrībai, tehniskai dokumentācijai un betonēšanai.</t>
  </si>
  <si>
    <t>LAD projekts  "Rotaļu laukuma izveide Ogres novada Ķeipenes pagastā" Nr.20-04-AL02-A019.2202-000008.</t>
  </si>
  <si>
    <t>08.29024</t>
  </si>
  <si>
    <t>Šogad izdevumiem paredzētie naudas līdzekļi būs nepieciešami paskaidrojuma rakstam, vecā asfalta demontāža</t>
  </si>
  <si>
    <t>Ņemot vērā projektēšanas darbu izpildes pagarināšanos, būvniecība netiks uzsākta 2020.gadā kā bija plānots. Arī samaksa par būvprojekta izstrādi un ekspertīzes veikšanu pārceļas uz 2021.gada sākumu. Veidojas pārpalikums apmēram 1,4 milj EUR apmērā</t>
  </si>
  <si>
    <t>EUR 3208 pārcelts uz Ķeipenes pagasta pārvaldi</t>
  </si>
  <si>
    <t>Saskaņā ar projekta atskaitēm projektam piešķirs papildus finansējums</t>
  </si>
  <si>
    <t>Projekts "TRĪS.KOPĀ.LABĀK", "Starpnovadu un starpinstitūciju sadarbība jaunatnes politikas īstenošanai vietējā līmenī".</t>
  </si>
  <si>
    <t>09.82047</t>
  </si>
  <si>
    <t>Jauns projekts tiek īstenots sadarbojoties ar Ogres, Ķeguma un Lielvārdes novadu pašvaldībām, aicinot iesaistīties arī Ikšķiles novada jauniešus. Projekta ideja radusies saistībā ar plānoto reformu, lai savlaicīgi varētu plānot sadarbību jaunatnes jomā.</t>
  </si>
  <si>
    <t>Erasmus programmas projekts Nr.2020-1-LV01-KA101-077352 Skolu mācību mobilitāte (ģimnāzija)</t>
  </si>
  <si>
    <t>09.82048</t>
  </si>
  <si>
    <t>Apstiprināts jauns Erasmus projekts</t>
  </si>
  <si>
    <t>Erasmus programmas projekts Nr.2020-1-IT02-KA229-079156 2, Skolas apmaiņas partnerība (Jaunogres vsk.)</t>
  </si>
  <si>
    <t>09.82049</t>
  </si>
  <si>
    <t>Erasmus programmas projekts Nr.2020-1-PL01-KA229-081399 6 Es izaicinu vecumu ar sparu, (ģimnāzija)</t>
  </si>
  <si>
    <t>09.82050</t>
  </si>
  <si>
    <t>Erasmus programmas projekts Nr.2020-1-FR01-KA229-079905 2, Sagatavo mūs nākotnei, (ģimnāzija)</t>
  </si>
  <si>
    <t>09.82052</t>
  </si>
  <si>
    <t>Erasmus programmas projekts Nr.2020-1-TR01-KA229-093575 5 Atklāj patieso dzīvi, (ģimnāzija)</t>
  </si>
  <si>
    <t>09.82051</t>
  </si>
  <si>
    <t>Erasmus programmas projekts Nr.2020-1-TR01-KA229-093837 4, , (ģimnāzija)</t>
  </si>
  <si>
    <t>09.82053</t>
  </si>
  <si>
    <t>Erasmus programmas projekts Nr.2020-1-LV01-KA101-077362 Skolu mācību mobilitāte (Madlienas)</t>
  </si>
  <si>
    <t>09.82054</t>
  </si>
  <si>
    <t>Jauniešu garantija Projekts ''PROTI un DARI'', Nr.8.3.3.0/15/I/001.</t>
  </si>
  <si>
    <t>Projektam ir pagarināts realizācijas termiņš un piešķirts papildus finansējums</t>
  </si>
  <si>
    <t>Papildus līdzekļi projektā ir nepieciešami atalgojumam, sakarā ar to ka,  COVID dēļ nebija iespējams realizēt projektu termiņā un šobrīd projekts tiek pagarināts līdz 2021.gadam 31.janvārim.</t>
  </si>
  <si>
    <t>Papildus līdzekļi projektā ir nepieciešami aprūpētāju atalgojumam, kā arī pilngadīgo personu aprūpe mājās pakalpojuma nodrošināšanai sakarā ar to, ka ir palielinājies DI projekta klientu skaits.</t>
  </si>
  <si>
    <t>Degradētās teritorijas Pārogres industriālajā parkā revitalizācija</t>
  </si>
  <si>
    <t>Suntažu tirgus laukuma izveide</t>
  </si>
  <si>
    <t>Uzņēmējdarbības attīstība Ogres stacijas rajonā, pārbūvējot uzņēmējiem svarīgu ielas posmu un laukumu Ogrē''( Skolas ielas pārbūve).</t>
  </si>
  <si>
    <t>LAD projekts  "Brīvdabas skatuves būvniecība un Meņģeles pagasta Tautas nama laukuma labiekārtošana" Nr.20-04-AL02-A019.2202-000007."</t>
  </si>
  <si>
    <t>ES projekts PROTI un DARI</t>
  </si>
  <si>
    <t>Vienošanās EUR 198 par Madlienas transporta izmantošanu bāriņtiesas darba vajadzībām.</t>
  </si>
  <si>
    <t>SAM 9.2.4.2. Pasākumi veselības veicināšanaiun slimību profilaksei Ogres novada iedzīvotājiem</t>
  </si>
  <si>
    <t>Samazināti komunālie pakalpojumi un novirzītas summas mazvērtīgam inventāram, iestādes uzturēšanas materiāliem un datortehnikai</t>
  </si>
  <si>
    <t>Papildus izdevumi otrās kārtas izbūvei Suntažu pag. autoceļam A1</t>
  </si>
  <si>
    <t>Vārtu uzstādīšana iekšēji pārcelts no pakalpojumu koda un EUR 40 000 aprīkotas automašīnas iegādei personu ar funkcionāliem traucējumiem pārvadāšanai</t>
  </si>
  <si>
    <t>04.51005</t>
  </si>
  <si>
    <t>Blaumaņa ielas Ogrē pārbūve</t>
  </si>
  <si>
    <t>04.51020</t>
  </si>
  <si>
    <t>Rožu ielas Ogrē pārbūve</t>
  </si>
  <si>
    <t>04.51022</t>
  </si>
  <si>
    <t>04.51023</t>
  </si>
  <si>
    <t>04.51024</t>
  </si>
  <si>
    <t>Egļu ielas Ogrē pārbūve</t>
  </si>
  <si>
    <t>Kadiķu ielas Ogrē pārbūve</t>
  </si>
  <si>
    <t>“Gājēju un veloceliņa izbūve gar autoceļa V996 "Ogre – Viskāļi - Koknese" brauktuves malu posmā no Ogres līdz Ogresgalam</t>
  </si>
  <si>
    <t>04.51025</t>
  </si>
  <si>
    <t>Lēdmanes ielas Ogrē pārbūve</t>
  </si>
  <si>
    <t>EUR -3 500 Mazozolu grāmatas finansējums pārcelts no pakalpojumiem uz prezentācijas izdevumiem; EUR-1892 no Ogresgala svētkiem paredzētiem līdzekļiem pārcelts uz labiekārtošanas darbiem koku sakopšanai un elektrības sadalnes ierīkošanai pie brīvdabas skatuves Ogresgalā un EUR 2 260 āra soliņu un apgaismes stabu ierīkošanai; EUR 1 135 iekšēji pārcelts no dotācijām</t>
  </si>
  <si>
    <t>Papildus pedagogu algām no pašvald. fin.</t>
  </si>
  <si>
    <t>Papildus no pašvaldības budžeta 10 361 EUR; samazinās plānotais kredīts -27 182 EUR</t>
  </si>
  <si>
    <t>Samazināts plānotais kredīts</t>
  </si>
  <si>
    <t>Zilokalnu un Vidus prospekta krustojuma satiksmes organizācija</t>
  </si>
  <si>
    <t>Saskaņā ar iepirkumu projekta sadārdzinājums</t>
  </si>
  <si>
    <t>Gājēju ceļa no Pārogres stacijas līdz Pārogres gatvei rekonstrukcija</t>
  </si>
  <si>
    <t>Birzgales ielas, Ogrē pārbūve</t>
  </si>
  <si>
    <t>COVID-19 projekts (aizņēmums 367859 EUR; samazinās pašvaldības finansējums 108952 EUR)</t>
  </si>
  <si>
    <t>Projekta atalgojums ir iekļauts attiecināmās izmaksās. Projekts 2020. un 2021.gadam. Kopējā izmaksu summa    1 441 149 EUR. 
2020.gadā plānots apgūt 916601 EUR (63%) no kopējās summas.  Piešķirts aizņēmums 2020.gadā 419 904; samazinās pašvaldības finansējums par 528 208 EUR.</t>
  </si>
  <si>
    <t>Paredzēta realizācija 2020.gadā 80%</t>
  </si>
  <si>
    <t>COVID-19 projekts (aizņēmums 193 848 EUR; pašvaldības finansējums 78 657 EUR)</t>
  </si>
  <si>
    <t>COVID-19 projekts (aizņēmums 156 326 EUR; pašvaldības finansējums 117 382 EUR)</t>
  </si>
  <si>
    <t>Paredzēta realizācija 2020.gadā 30%</t>
  </si>
  <si>
    <t>COVID-19 projekts (paredzēts aizņēmums 89 843 EUR; pašvaldības finansējums 72 455 EUR)</t>
  </si>
  <si>
    <t>COVID-19 projekts (aizņēmums 222 489 EUR; pašvaldības finansējums 100851 EUR)</t>
  </si>
  <si>
    <t>Paredzēta realizācija 2020.gadā 100%</t>
  </si>
  <si>
    <t>COVID-19 projekts (aizņēmums 72 314 EUR; pašvaldības finansējums 42 132 EUR)</t>
  </si>
  <si>
    <t>50 000 EUR pāriet no vadības funkc. 05.2001</t>
  </si>
  <si>
    <t>Projekta  “Suntažu tirgus laukuma izveide (LAD)” īstenošanai P-273/2019</t>
  </si>
  <si>
    <t>Projekta "Ēkas Upes prospektā 16, Ogrē  siltināšana un rekonstrukcija, pielāgojot Ogres novada Sociālā dienesta un tā struktūrvienību vajadzībām"realizācijai                   P-313/2018</t>
  </si>
  <si>
    <t xml:space="preserve">EKII projekta "Siltumnīcefekta gāzu emisijas samazināšana Ogres 1. vidusskolā" realizācijai P-543/2017 </t>
  </si>
  <si>
    <t>Projekta “ SAM 5.6.2.Degradētās teritorijas Pārogres industriālajā parkā revitalizācija "realizācijai P-210/2019</t>
  </si>
  <si>
    <t>Vienošanās par transporta izmantošanu ar Infrastrukt. veicin. nod.</t>
  </si>
  <si>
    <t>COVID-19 projekts (aizņēmums 71001 EUR; pašvaldības finansējums 37 420 EUR)</t>
  </si>
  <si>
    <t>EUR 71 590 pašvaldības finansējums, EUR 81 000 kredīts</t>
  </si>
  <si>
    <t>Papildus izdevumi stāvlaukumam, uzklāts asfaltbetona segums, tādejādi vēl paplašinot stāvlaukumu, grozijumi Līgumam SIA Imberteh</t>
  </si>
  <si>
    <t>Aizsargmola būvniecība pie Ogres ietekas Daugavā ar mērķi novērst plūdu un krasta erozijas risku apdraudējumu Ogres pilsētā</t>
  </si>
  <si>
    <t>EUR 369 Pārcelts no projekta Kultūras mantojums</t>
  </si>
  <si>
    <t>Projekts "Uzņēmējdarbības attīstība Ogres stacijas rajonā, pārbūvējot uzņēmējiem svarīgu ielas posmu un laukumu Ogrē''</t>
  </si>
  <si>
    <t>Gājēju un veloceliņa izbūve gar autoceļa V996 "Ogre – Viskāļi - Koknese" brauktuves malu posmā no Ogres līdz Ogresgalam</t>
  </si>
  <si>
    <t>06.60029</t>
  </si>
  <si>
    <t>Tirgus laukuma Suntažos uzturēšanai</t>
  </si>
  <si>
    <t>Vispārējie valdības dienesti (Vēlēšanas)</t>
  </si>
  <si>
    <t>CVK parakstu vākšanas izdevumiem</t>
  </si>
  <si>
    <t>Parakstu vākšanas izdevumiem</t>
  </si>
  <si>
    <t xml:space="preserve"> LR Valsts meži -finansējums rotaļu laukuma izveidei</t>
  </si>
  <si>
    <t>Pārējie maksas pakalpojumi</t>
  </si>
  <si>
    <t>VKKF dalībai Dziesmu un deju svētkos</t>
  </si>
  <si>
    <t>08.400</t>
  </si>
  <si>
    <t>Sakrālā mantojuma saglabāšana</t>
  </si>
  <si>
    <t>Reliģisko organizāciju un citu biedrību un nodibinājumu pakalpojumi (Sakrālā mantojuma saglabāšana)</t>
  </si>
  <si>
    <t>04.51026</t>
  </si>
  <si>
    <t>Gājēju ietves izbūve Madlienā</t>
  </si>
  <si>
    <t>EUR 1 575 Ieņēmumi no B-bas "Latvijas Sporta federācijas padome" projektu konkurss; EUR 8 510 iesniegums par papildus finansējuma nepieciešamību sakarā ar pasākumu organizēšanas izdevumu pieaugumu</t>
  </si>
  <si>
    <r>
      <t xml:space="preserve">Informācija par Ogres novada pamatbudžeta transferta maksājumiem, kādiem jābūt </t>
    </r>
    <r>
      <rPr>
        <b/>
        <sz val="10"/>
        <rFont val="Arial"/>
        <family val="2"/>
      </rPr>
      <t>plānotajā 2020.gada oktobra budžeta grozījumos</t>
    </r>
    <r>
      <rPr>
        <sz val="10"/>
        <rFont val="Arial"/>
        <family val="0"/>
      </rPr>
      <t>.</t>
    </r>
  </si>
  <si>
    <t>Zilokalnu un Vidus prospekta krustojuma Ogrē satiksmes organizācijas izbūve</t>
  </si>
  <si>
    <t>Parka ielas Ogrē pārbūve</t>
  </si>
  <si>
    <t>Birzgales ielas Ogrē pārbūve</t>
  </si>
  <si>
    <t>Projekts SAM 5.6.2.Degradētās teritorijas Pārogres industriālajā parkā revitalizācija</t>
  </si>
  <si>
    <t>Siltumnīcefekta gāzu emisiju samazināšana izbūvējot Ogres Centrālo bibliotēkas ēku EKII-4/2</t>
  </si>
  <si>
    <t>Projekts Viedo tehnoloģiju ieviešana Ogres pilsētas apgaismojuma sistēmā EKII-3/19</t>
  </si>
  <si>
    <t>Projekts Kultūras mantojuma saglabāšana un attīstība Daugavas ceļā Nr.5.5.1.0./17/I/005</t>
  </si>
  <si>
    <t>LAD projekts "Brīvdabas skatuves būvniecība un Meņģeles pagasta Tautas nama laukuma labiekārtošana" Nr.20-04-AL02-A019.2202-000007.</t>
  </si>
  <si>
    <t>Projekts ''Uzlabot vispārējās izglītības iestāžu mācību vidi Ogres novadā’’ Nr.8.1.2.0/17/I/008</t>
  </si>
  <si>
    <t>ES projekts Karjeras atbalsts vispārējās un profesionālās izglītības iestādēs, 8.3.5.0/16/I/001</t>
  </si>
  <si>
    <t>ES projekts Atbalsts priekšlaicīgas mācību pārtraukšanas samazināšanai, 8.3.4.0/16/I/001, PUMPURS</t>
  </si>
  <si>
    <t>Valsts budžeta programma "Latvijas skolas soma''</t>
  </si>
  <si>
    <t>ES projekts Atbalsts izglītojamo idividuālo kompetenču attīstībai, 8.3.2.2/16/I/001</t>
  </si>
  <si>
    <t>EUR 5 070 "CATA" izdevumiem par apbraucamā ceļa izmantošana Skolas ielas Ogrē remonta laikā; EUR 19 088 pārcelts uz SIA "Ogres namsaimnieks" Grīvas pr. 27 asfltēš. darbiem;</t>
  </si>
  <si>
    <t>Pārcelts uz vadības funkciju 04.51025 Lēdmanes ielas pārbūvei</t>
  </si>
  <si>
    <t>EUR 540 176  pēc lēmumiem (3 aktivitātēm mazākas izmaksas)</t>
  </si>
  <si>
    <t>Civilās aizsardzības pasākumi (COVID-19 izdevumi)</t>
  </si>
  <si>
    <t>Papildus krāsainam printerim</t>
  </si>
  <si>
    <t>Lēmums EUR 4 400 papildus precizētā summa Parka ielas 5, Ogre, daļas nepieciešamībai sabiedrības vajadzībām atsavināšanai; EUR 2 541 papildus gājēju ceļš posmā no Krasta ielas promenādes līdz Brīvības ielai 60; EUR 509 papildus elektropieslēgumam Krasta ielā</t>
  </si>
  <si>
    <t>Paredzēta realizācija 2020.gadā 90%</t>
  </si>
  <si>
    <t>Projekts "Uzņēmējdarbības attīstība Ogres stacijas rajonā, pārbūvējot uzņēmējiem svarīgu ielas posmu un laukumu Ogrē'' un Stacijas laukuma stāvlaukuma pārbūve.</t>
  </si>
  <si>
    <t xml:space="preserve">Izstādes prezentēšanai Balttour 2020 izstādes laikā ieplānotie izdevumi pārcelti uz nemateriālo ieguldījumu kodu un datortehnikas VR brilles izmaksas pārceltas uz mazvērt. inv.; EUR 2502 papildus gaisa apmaiņas automātikas uzstādīšanai </t>
  </si>
  <si>
    <t>EUR 1 657 pārcelts no Bibliotēkas budžeta Pepper robota prezentēšanai Balttour 2020 izstādes laikā, papildus EUR 2502 gaisa apmaiņas automātikas uzstādīšanai un komunālajiem pakalpojumiem EUR 9850</t>
  </si>
  <si>
    <t>EUR 1950 Finansējums Pierīgas partnerības ietvaros rīkotajām mārketinga aktivitātēm pārcelts uz  kodu 3263; EUR 1 657 pārcelts no Bibliotēkas budžeta Pepper robota prezentēšanai Balttour 2020 izstādes laikā; komunālajiem pakalpojumiem EUR 9850</t>
  </si>
  <si>
    <t>05.2001  5200</t>
  </si>
  <si>
    <t>Pielikumā PA "Ogres komunikācijas" budž. korekc. (EUR 1 950 pārcelts finansējums uz peldēšanas klubu "Ogre" sporta komandu budž.un EUR 21 642 novirzīts kanaliz.avār. novērš.pie tuneļa);EUR 4173 PVN laistīš. sistēmas izbūvei stadionā</t>
  </si>
  <si>
    <t>EUR 6820 no VKKF proj. "Voldemāra Jāņkalniņa gleznu kolekcijas iegāde"</t>
  </si>
  <si>
    <t>EUR 3 500 iekšēji pārcelts no pakalpojumiem uz prezentāc. izdev.; EUR 400 Jāņu vides objektam "Pūdele" Plāteres pilskalnā; EUR 10 000 no dotācijām pārcelts uz prezentācijas izdev.; EUR 600 grāmatai "Mans lidojums uz Japānu"</t>
  </si>
  <si>
    <t>EUR 15 000 pārcelts uz pakalpojumiem SIA "SKUBA TV productions" dokumentālas filmas "Ogre var!" veidošanai; EUR -10 000 iekšēji pārcelts uz prezentācijas izdev. grāmata "100 Ogres novada personības"; EUR 1135 pasāk. "Sirds domas" pārcelts uz līgumdarbu</t>
  </si>
  <si>
    <t>Nebūs līgumdarbu</t>
  </si>
  <si>
    <t>Finansējums bērniem, kuri apmeklē privātās izglītības iestādes</t>
  </si>
  <si>
    <t>09.21912</t>
  </si>
  <si>
    <t xml:space="preserve">SIA Izglītības un attīstības centrs UNIVERSUM (Krapē) </t>
  </si>
  <si>
    <t>EUR 10 200 papildus kapu digitalizācijai pagastu teritorijās</t>
  </si>
  <si>
    <t xml:space="preserve"> 1.-4.klašu ēdināšanas maksas no skolu budžetiem</t>
  </si>
  <si>
    <t>Pieaudzis bērnu skaits, kuri apmeklē privātās izglīt. iest.</t>
  </si>
  <si>
    <t>EUR 645 pārcelts no uzņēmējdarbības budžeta par nodarbinātību vasaras brīvlaikā</t>
  </si>
  <si>
    <t>EUR 5000 mazvērt. invent. un EUR- 1130 pārcelts uz pakalpoj.</t>
  </si>
  <si>
    <t>EUR- 1 247 pārcelts uz Suntažu pag. par transporta pakalpoj.; EUR-  8 170 pārcelts uz kapitālo rem, jauna žoga izbūvei</t>
  </si>
  <si>
    <t>EUR 2260 no Ogresgala svētkiem paredzētiem līdzekļiem pārcelts Ogresgala Tradīciju parka ozolu birzs sakopšanai 6 āra soliņi, 4 apgaismes ķermeņi; EUR -5000 Krimas liepu stādīšana šogad nenotiek, pārcelti līdzekļi uz pamatlīd. 4 kapu soliņu un 2 galdu iegādei; EUR 1891 dekoratīvo krūmustādīšanai no pakalpojumiem, kas bija paredzēts nogāzes stiprināšanai</t>
  </si>
  <si>
    <t xml:space="preserve">EUR -1 936 iekšēji koriģēts Zano Photon viedais soliņš pie Mūzikas skolas; EUR 1640 no Ogresgala svētkiem paredzētiem līdzekļiem pārcelts elektrības sadalnes ierīkošanai pie brīvdabas skatuves Ogresgalā; EUR 5000 no krājumiem uz pamatl.- kapiem inventāram 4 soli, 2 galdi, EUR -11 864 uz pakalojumiem; EUR 22000 Lēmums NĪ iegāde; EUR -4000 velo novietnei pārcelts uz pakalpojumiem; </t>
  </si>
  <si>
    <t>EUR -1 600 iekšēji pārcelts no pakalpojumiem uz pamatlīdzekļiem Zano Photon viedais soliņš pie Mūzikas skolas; EUR 252 no Ogresgala svētkiem paredzētiem līdzekļiem pārcelts uz labiekārtošanas darbiem koku sakopšanai Ogresgalā; EUR 46 864 komunāliem pakalpojumiem pašv. īpašumos, EUR 10140 Bumbieru ielas 9 pārbūves darbiem, EUR 4000 velo novietnei pārcelts no pamatlīdz.; EUR -1891 pārcelts uz dekorat. krūmu stādīšanai; EUR 491 Lēmums NĪ iegādei topogrāfiskais plāns</t>
  </si>
  <si>
    <t>ES projekts Digitālo mācību un metodisko līdzekļu izstrāde Uzdevumi.lv modernizācijai Nr.8.3.1.2/19/A/005.(1.vsk.)</t>
  </si>
  <si>
    <t>09.82055</t>
  </si>
  <si>
    <t>EUR 1131 pārcelts uz naudas balvas skolēniem par labiem sasniegumiem sportā; EUR 18 000 iesniegums- pārcelts no sporta komandu budžeta, jo saistīts ar Valsts un starpnovadu sporta pasākumu organizēš. izdev. pieaugumu</t>
  </si>
  <si>
    <t>Pārējie iepriekš neklasificētie vispārējie valdības dienesti (Vēlēšanas)</t>
  </si>
  <si>
    <t xml:space="preserve">LAD projekts  "Rotaļu laukuma izveide Ogres novada Ķeipenes pagastā" </t>
  </si>
  <si>
    <t>Mūzikas un mākslas skolai pedagogu darba samaksai un soc.apdr.iem.</t>
  </si>
  <si>
    <t>EUR 75 pārsk. uz Latvijas Nacionālo kult.centru mērķdot. atlikums māksliniecisko kolekt. vadīt.; EUR 20 229 neizmantotā finansējuma atmaksa par 2019. g. Skolas soma; EUR 66 353 neizlietotā 1.-4. klašu ēdināšanai paredzētā finansējuma atmaksu IZM</t>
  </si>
  <si>
    <t>EUR 363 Par pārtikas pakām Suntažu pamatsk.rehabilit. centra izglītoj., kuri deklarēti Rīgā un EUR 81 Ikšķilē</t>
  </si>
  <si>
    <t>Pārcelts no pakalpojumiem, līgumdarbs</t>
  </si>
  <si>
    <t>09.82056</t>
  </si>
  <si>
    <t>Jaunu Pašvaldības pakalpojumu sniegšanas veidu attīstība</t>
  </si>
  <si>
    <t>COVID- 19 projekts, šogad tiks realizēti 30%</t>
  </si>
  <si>
    <t>Papildus EUR 24 079 priekšizpētes dokumentācijas sagat.ēkas siltināšanai, EUR 1 500 dators logopēdei; papildus iesniegums EUR 36 128 āra sporta laukumu un gājēju celiņu atjaunošanai</t>
  </si>
  <si>
    <t>Ceļu uzturēšanai</t>
  </si>
  <si>
    <t>2019. gada PFIF dotācijas atlikums</t>
  </si>
  <si>
    <t>Pakalpojumos ietaupītie līdzekļi novirzīti uz pamatlīdzekļiem</t>
  </si>
  <si>
    <t>Datoriem un rotaļu laukumu inventāram</t>
  </si>
  <si>
    <t>EUR 250 pārcelts no Izglītības pārvaldes  naudas balvas izglītojamajiem par labām sekmēm un EUR 81 841 ēdināšanas izdevumu atlikumi pārcelti uz atsevišķi izdalītu funkciju 09.600139</t>
  </si>
  <si>
    <t>EUR 2 050 pārcelts no Izglītības pārvaldes  naudas balvas izglītojamajiem par labām sekmēm un EUR 89 199 ēdināšanas izdevumu atlikumi pārcelti uz atsevišķi izdalītu funkciju 09.600139</t>
  </si>
  <si>
    <r>
      <t xml:space="preserve">EUR 4 730 pārcelts uz mazvērtīgo inv.-planšetdatori, krēsu komplekti un dezinfekcijas līdz.; </t>
    </r>
    <r>
      <rPr>
        <b/>
        <sz val="11"/>
        <rFont val="Times New Roman"/>
        <family val="1"/>
      </rPr>
      <t>EUR -230</t>
    </r>
    <r>
      <rPr>
        <sz val="11"/>
        <rFont val="Times New Roman"/>
        <family val="1"/>
      </rPr>
      <t xml:space="preserve"> par PA Ogres komunikācijas pakalpojumu kanalizācijas caurules nomaiņa</t>
    </r>
  </si>
  <si>
    <t>EUR 2 800 pārcelts no Izglītības pārvaldes un EUR 40 116 ēdināšanas izdevumu atlikumi pārcelti uz atsevišķi izdalītu funkciju 09.600139</t>
  </si>
  <si>
    <t>VF - 4000, EKK - F40322210</t>
  </si>
  <si>
    <t>Valsts kases kredīts   F40322210</t>
  </si>
  <si>
    <t>03.1101</t>
  </si>
  <si>
    <t>EUR 2611 pārcelts uz Madlienas pagasta pārvaldi</t>
  </si>
  <si>
    <t>Apstiprināts jauns projekts</t>
  </si>
  <si>
    <t>4.1.2.1.</t>
  </si>
  <si>
    <t>EUR 16 364 apgaismes ķermeņu (lustru) izpētei un iegādei</t>
  </si>
  <si>
    <t>Projektam ir termiņa pagarinājums līdz 2023.gada 30.jūnijam un piešķirts 100% papildus finansējums.</t>
  </si>
  <si>
    <t xml:space="preserve">No vispār. ieņēmumiem kompensāc. pedagogu darba samaksai </t>
  </si>
  <si>
    <t>Lēmums par 20% no trīs mēn. priekšsēdētāja, vietn. un divu mēn. komiteju priekšsēdētāju algām novirzīts pasākumiem ar Covid-19  novēršanai; Lēmums no nepar gadīj. EUR 17 700 jaunizveidojamā novada struktūras proj. izstrādei 2020.g., tai sk.EUR 13 125 mērķdotācija</t>
  </si>
  <si>
    <t>Lēmumi EUR 100 000 no nepredz. gadīj., no kuriem EUR 55 440 novirzīts pabalstiem; EUR 150 000 no skolēnu dziesmu un deju svētku izdev., EUR 6 187 no algām, EUR 500 no pension. izgl. darbin.; EUR 10 200 portatīvo datoru iegādei Taurupes, Ķeipenes un Ogresgala pamatskolām pārcelts no Izglītības pārv. budžeta</t>
  </si>
  <si>
    <t>Lēmums EUR  11 000 no līdz. neparedz. gad. gaismas logo kubu dizaina izstrādei un izgatav. jaunā gājēju tuneļa galos; papildus elektroapgādes pieslēgumam abās tuneļa pusēs</t>
  </si>
  <si>
    <t>Lēmums EUR 11 709 no nepar. gadīj. VPII Saulīte, Dzīpariņš, Cīrulītis energoefektivitātes paaugstināšanas pasākumiem un EUR 23 796 vēl papildus - iesniegums no Infrastruktūras veicin. nodaļas</t>
  </si>
  <si>
    <t>Lēmums no nepar. gad. EUR 19 870 laistīš. sistēmas izbūve stadionā; 4173 EUR no fin.Neptūna remontiem un EUR 1212 no iestādēm sniegtajiem pakalpoj.,  pielikumā PA "Ogres komunikācijas" budž. korekc.</t>
  </si>
  <si>
    <t>Lēmums no nepar. gad. EUR 2 000 kapličas jumta rem pēc vētras postīj., pielikumā PA "Ogres komunikācijas" budž. korekc.</t>
  </si>
  <si>
    <t>Lēmums EUR 8 418 no nepar. gadīj. "O divi" nodibinājumam proj. Trenažieru iegāde Madlienas pag. iedzīvotāju sportisko aktivit. dažādošanai</t>
  </si>
  <si>
    <t>Lēmums EUR 3 125 ēkas Bumbieru 9 fasādes pārbūves darbiem Ogresgalā; Lēmums EUR 7 015 atlikušās fasādes daļas remontam Bumbieru 9; Lēmums EUR 22 000 NĪ Brīvības 3 pirmpirkuma tiesību izmantošana un EUR 387 topogrāfiskā plāna izstrāde, un EUR 104 notāra pakalpojumi</t>
  </si>
  <si>
    <t>Lēmums EUR 2 360 no līdz. neparedz. gad. dzīvoj. māju piesaist. zemesgab. labiekārtošanai un lēmums EUR 19 088 līdzfin. Grīvaspr.27 asfaltēš. darbiem, kas pārcelts no funkc. 04.510010 un papildus EUR 16 177</t>
  </si>
  <si>
    <t>Lēmums EUR 1 950 pārcelts finansējums  no peldbaseina Neptūns uz peldēšanas klubu "Ogre"; Lēmums EUR 50 000 no līdz. nepar. gad.finansējums Basketbola klubam; EUR 18 000 pēc iesnieguma pārcelts uz sporta pasākumu budžetu</t>
  </si>
  <si>
    <t>Lēmums EUR 4 598 no nepar. gadīj. bibliobusa atpazīstamības noformējumam un iekšējas korekcijas</t>
  </si>
  <si>
    <t>Lēmums EUR 64 000 papildus pilsētas dekorēšanai Ziemassvētkos</t>
  </si>
  <si>
    <t>Lēmums EUR 500 novirzīt pasākumiem ar Covid-19 pārvarēšanai uz civilās aizsardz.funkc.</t>
  </si>
  <si>
    <t>Lēmums EUR 150 000 pārcelts uz civilās aizsardz.funkc. Covid-19 izplatības ierobežošanas pasāk.un EUR 43 941 nesaņemtais no VKKF, neizlietots EUR 91 536</t>
  </si>
  <si>
    <t>Lēmums EUR 1 163 no nepar. gadīj. papildus</t>
  </si>
  <si>
    <t>Lēmums EUR 7 705  no nepar. gad. Būvprojekta izstrādei un autoruzraudzībai vides pieejamības nodrošināšanai skolā; EUR 3 650 no kapit. rem uz parasto rem. un no pamatlīdz. uz mazvērt. invent.</t>
  </si>
  <si>
    <t>Lēmums no nepar. gad. EUR 6 848 garāžas jumta rem. pēc vētras postīj. un EUR 5 447 vēl papildus jumta rem. pārcelt no pabalstiem neizlietotos līdzekļus saistībā ar covid 19; EUR -10 920 Vārtu uzstādīšana iekšēji pārcelts uz pamatlīdzekļiem</t>
  </si>
  <si>
    <t>Lēmums EUR 2 000 no līdz. neparedz. gad. personas ārstniecības izdevumu segšanai (V. Mihalovskim)</t>
  </si>
  <si>
    <t>Lēmums EUR 3 300 no līdz. neparedz. gad. B-bai "Lux viridia" 3 dienu radošo un sporta aktivitāšu pasākumam cilvēkiem ar īpašām vajadzībām “IE[SPĒJA] 2020”</t>
  </si>
  <si>
    <t>EUR 1 554 no VKKF mācību instrumentu iegādei (galda zāģis un karstā diega griešanas instrumenti) un EUR 4 000 no VKKF Timpānu iegādei, un atlikumi pārcelti no Mūzikas un mākslas skolas budžetiem</t>
  </si>
  <si>
    <t>Lēmums EUR 112 000 no līdz. neparedz. gad. ēkas Skolas iela 12 siltināšanai un pārbūvei, (Nepieciešami EUR 78 220); EUR 1 130 iegādāts augstspiediena mazgātājs un EUR 3105 izveidots un izvietots jauns sporta centra logo; EUR 8615 izbūvēta daļa žoga</t>
  </si>
  <si>
    <t>Par PA "Ogres komunikācijas" pakalpojumu ( ūdens sildītāju plākšņu skalošana)</t>
  </si>
  <si>
    <t>Lēmums EUR 595 no līdz. neparedz. gad. NĪ Brīvības 3 pirmpirkuma tiesību izmantošana, papildus izdevumi EUR 5 000 un iekšējas korekcijas</t>
  </si>
  <si>
    <t>Elektrības pieslēgums Brīvības 35 papildus EUR 9769</t>
  </si>
  <si>
    <t>Jauns proj., Lēmums no nepar. gad. nodrošināt priekšfinansēj., projekta realizācija turpināsies 2021.g.</t>
  </si>
  <si>
    <t>Apstiprināts jauns LAD projekts.  Lēmums no nepar. gad. nodrošināt priekšfinansēj., projekta realizācija turpināsies 2021.g.</t>
  </si>
  <si>
    <t>15.10.2020. Saistošajiem noteikumiem Nr.20/2020</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</si>
</sst>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Ls&quot;;\-#,##0\ &quot;Ls&quot;"/>
    <numFmt numFmtId="193" formatCode="#,##0\ &quot;Ls&quot;;[Red]\-#,##0\ &quot;Ls&quot;"/>
    <numFmt numFmtId="194" formatCode="#,##0.00\ &quot;Ls&quot;;\-#,##0.00\ &quot;Ls&quot;"/>
    <numFmt numFmtId="195" formatCode="#,##0.00\ &quot;Ls&quot;;[Red]\-#,##0.00\ &quot;Ls&quot;"/>
    <numFmt numFmtId="196" formatCode="_-* #,##0\ &quot;Ls&quot;_-;\-* #,##0\ &quot;Ls&quot;_-;_-* &quot;-&quot;\ &quot;Ls&quot;_-;_-@_-"/>
    <numFmt numFmtId="197" formatCode="_-* #,##0\ _L_s_-;\-* #,##0\ _L_s_-;_-* &quot;-&quot;\ _L_s_-;_-@_-"/>
    <numFmt numFmtId="198" formatCode="_-* #,##0.00\ &quot;Ls&quot;_-;\-* #,##0.00\ &quot;Ls&quot;_-;_-* &quot;-&quot;??\ &quot;Ls&quot;_-;_-@_-"/>
    <numFmt numFmtId="199" formatCode="_-* #,##0.00\ _L_s_-;\-* #,##0.00\ _L_s_-;_-* &quot;-&quot;??\ _L_s_-;_-@_-"/>
    <numFmt numFmtId="200" formatCode="0.0"/>
    <numFmt numFmtId="201" formatCode="0.0000"/>
    <numFmt numFmtId="202" formatCode="0.000"/>
    <numFmt numFmtId="203" formatCode="0.0%"/>
    <numFmt numFmtId="204" formatCode="0.000000000"/>
    <numFmt numFmtId="205" formatCode="0.0000000000"/>
    <numFmt numFmtId="206" formatCode="0.00000000"/>
    <numFmt numFmtId="207" formatCode="0.0000000"/>
    <numFmt numFmtId="208" formatCode="0.000000"/>
    <numFmt numFmtId="209" formatCode="0.00000"/>
    <numFmt numFmtId="210" formatCode="#,##0.0"/>
    <numFmt numFmtId="211" formatCode="_-* #,##0.0_-;\-* #,##0.0_-;_-* &quot;-&quot;??_-;_-@_-"/>
    <numFmt numFmtId="212" formatCode="_-* #,##0_-;\-* #,##0_-;_-* &quot;-&quot;??_-;_-@_-"/>
    <numFmt numFmtId="213" formatCode="_-&quot;Ls&quot;\ * #,##0.0_-;\-&quot;Ls&quot;\ * #,##0.0_-;_-&quot;Ls&quot;\ * &quot;-&quot;??_-;_-@_-"/>
    <numFmt numFmtId="214" formatCode="_-&quot;Ls&quot;\ * #,##0_-;\-&quot;Ls&quot;\ * #,##0_-;_-&quot;Ls&quot;\ * &quot;-&quot;??_-;_-@_-"/>
    <numFmt numFmtId="215" formatCode="&quot;Yes&quot;;&quot;Yes&quot;;&quot;No&quot;"/>
    <numFmt numFmtId="216" formatCode="&quot;True&quot;;&quot;True&quot;;&quot;False&quot;"/>
    <numFmt numFmtId="217" formatCode="&quot;On&quot;;&quot;On&quot;;&quot;Off&quot;"/>
    <numFmt numFmtId="218" formatCode="0."/>
    <numFmt numFmtId="219" formatCode="000000"/>
    <numFmt numFmtId="220" formatCode="dd/mm/yy"/>
    <numFmt numFmtId="221" formatCode="[$€-2]\ #,##0.00_);[Red]\([$€-2]\ #,##0.00\)"/>
    <numFmt numFmtId="222" formatCode="#,##0.000"/>
    <numFmt numFmtId="223" formatCode="&quot;Jā&quot;;&quot;Jā&quot;;&quot;Nē&quot;"/>
    <numFmt numFmtId="224" formatCode="&quot;Patiess&quot;;&quot;Patiess&quot;;&quot;Aplams&quot;"/>
    <numFmt numFmtId="225" formatCode="&quot;Ieslēgts&quot;;&quot;Ieslēgts&quot;;&quot;Izslēgts&quot;"/>
    <numFmt numFmtId="226" formatCode="[$€-2]\ #\ ##,000_);[Red]\([$€-2]\ #\ ##,000\)"/>
    <numFmt numFmtId="227" formatCode="#,##0_);\(#,##0\)"/>
  </numFmts>
  <fonts count="67">
    <font>
      <sz val="10"/>
      <name val="Arial"/>
      <family val="0"/>
    </font>
    <font>
      <b/>
      <sz val="10"/>
      <name val="Arial"/>
      <family val="2"/>
    </font>
    <font>
      <sz val="10"/>
      <name val="Times New Roman"/>
      <family val="1"/>
    </font>
    <font>
      <sz val="14"/>
      <name val="Arial"/>
      <family val="2"/>
    </font>
    <font>
      <sz val="11"/>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sz val="12"/>
      <name val="Times New Roman"/>
      <family val="1"/>
    </font>
    <font>
      <b/>
      <sz val="12"/>
      <name val="Times New Roman"/>
      <family val="1"/>
    </font>
    <font>
      <sz val="8"/>
      <name val="Arial"/>
      <family val="2"/>
    </font>
    <font>
      <b/>
      <sz val="10"/>
      <color indexed="10"/>
      <name val="Arial"/>
      <family val="2"/>
    </font>
    <font>
      <sz val="11"/>
      <color indexed="10"/>
      <name val="Times New Roman"/>
      <family val="1"/>
    </font>
    <font>
      <sz val="10"/>
      <color indexed="10"/>
      <name val="Arial"/>
      <family val="2"/>
    </font>
    <font>
      <sz val="16"/>
      <name val="Times New Roman"/>
      <family val="1"/>
    </font>
    <font>
      <sz val="14"/>
      <name val="Times New Roman"/>
      <family val="1"/>
    </font>
    <font>
      <i/>
      <sz val="14"/>
      <name val="Times New Roman"/>
      <family val="1"/>
    </font>
    <font>
      <b/>
      <sz val="11"/>
      <color indexed="10"/>
      <name val="Times New Roman"/>
      <family val="1"/>
    </font>
    <font>
      <sz val="11"/>
      <color indexed="8"/>
      <name val="Arial"/>
      <family val="2"/>
    </font>
    <font>
      <sz val="9"/>
      <name val="Arial"/>
      <family val="2"/>
    </font>
    <font>
      <sz val="11"/>
      <color indexed="30"/>
      <name val="Times New Roman"/>
      <family val="1"/>
    </font>
    <font>
      <b/>
      <sz val="10"/>
      <name val="Times New Roman"/>
      <family val="1"/>
    </font>
    <font>
      <b/>
      <i/>
      <sz val="11"/>
      <name val="Times New Roman"/>
      <family val="1"/>
    </font>
    <font>
      <sz val="11"/>
      <name val="Times New Roman Baltic"/>
      <family val="1"/>
    </font>
    <font>
      <b/>
      <sz val="11"/>
      <color indexed="30"/>
      <name val="Times New Roman"/>
      <family val="1"/>
    </font>
    <font>
      <b/>
      <sz val="11"/>
      <color indexed="12"/>
      <name val="Times New Roman"/>
      <family val="1"/>
    </font>
    <font>
      <i/>
      <sz val="11"/>
      <name val="Times New Roman"/>
      <family val="1"/>
    </font>
    <font>
      <sz val="10"/>
      <name val="Times New Roman Baltic"/>
      <family val="0"/>
    </font>
    <font>
      <b/>
      <i/>
      <sz val="11"/>
      <name val="Times New Roman Baltic"/>
      <family val="0"/>
    </font>
    <font>
      <sz val="12"/>
      <color indexed="8"/>
      <name val="Times New Roman"/>
      <family val="1"/>
    </font>
    <font>
      <sz val="11"/>
      <color indexed="8"/>
      <name val="Times New Roman"/>
      <family val="1"/>
    </font>
    <font>
      <b/>
      <sz val="11"/>
      <name val="Times New Roman Baltic"/>
      <family val="1"/>
    </font>
    <font>
      <b/>
      <i/>
      <sz val="14"/>
      <name val="Times New Roman"/>
      <family val="1"/>
    </font>
    <font>
      <b/>
      <i/>
      <sz val="12"/>
      <name val="Times New Roman"/>
      <family val="1"/>
    </font>
    <font>
      <b/>
      <i/>
      <sz val="10"/>
      <name val="Times New Roman"/>
      <family val="1"/>
    </font>
    <font>
      <b/>
      <i/>
      <sz val="11"/>
      <color indexed="8"/>
      <name val="Times New Roman"/>
      <family val="1"/>
    </font>
    <font>
      <b/>
      <sz val="11"/>
      <color indexed="62"/>
      <name val="Times New Roman"/>
      <family val="1"/>
    </font>
    <font>
      <sz val="10"/>
      <color rgb="FFFF0000"/>
      <name val="Arial"/>
      <family val="2"/>
    </font>
    <font>
      <sz val="12"/>
      <color rgb="FF000000"/>
      <name val="Times New Roman"/>
      <family val="1"/>
    </font>
    <font>
      <sz val="11"/>
      <color rgb="FFFF0000"/>
      <name val="Times New Roman"/>
      <family val="1"/>
    </font>
    <font>
      <sz val="11"/>
      <color theme="1"/>
      <name val="Times New Roman"/>
      <family val="1"/>
    </font>
    <font>
      <b/>
      <i/>
      <sz val="11"/>
      <color theme="1"/>
      <name val="Times New Roman"/>
      <family val="1"/>
    </font>
    <font>
      <b/>
      <sz val="11"/>
      <color rgb="FF0070C0"/>
      <name val="Times New Roman"/>
      <family val="1"/>
    </font>
    <font>
      <b/>
      <sz val="11"/>
      <color theme="3" tint="0.39998000860214233"/>
      <name val="Times New Roman"/>
      <family val="1"/>
    </font>
    <font>
      <sz val="11"/>
      <color rgb="FF000000"/>
      <name val="Times New Roman"/>
      <family val="1"/>
    </font>
  </fonts>
  <fills count="29">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
      <patternFill patternType="solid">
        <fgColor rgb="FF68F876"/>
        <bgColor indexed="64"/>
      </patternFill>
    </fill>
    <fill>
      <patternFill patternType="solid">
        <fgColor rgb="FFFFFFFF"/>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thin"/>
      <top style="medium"/>
      <bottom style="mediu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medium"/>
      <bottom style="medium"/>
    </border>
    <border>
      <left style="medium"/>
      <right>
        <color indexed="63"/>
      </right>
      <top>
        <color indexed="63"/>
      </top>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style="thin"/>
    </border>
    <border>
      <left>
        <color indexed="63"/>
      </left>
      <right style="thin"/>
      <top style="thin"/>
      <bottom style="thin"/>
    </border>
    <border>
      <left>
        <color indexed="63"/>
      </left>
      <right style="medium"/>
      <top style="medium"/>
      <bottom style="medium"/>
    </border>
    <border>
      <left style="medium"/>
      <right style="thin"/>
      <top style="thin"/>
      <bottom style="thin"/>
    </border>
    <border>
      <left style="medium"/>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medium"/>
      <right style="medium"/>
      <top>
        <color indexed="63"/>
      </top>
      <bottom>
        <color indexed="63"/>
      </bottom>
    </border>
    <border>
      <left>
        <color indexed="63"/>
      </left>
      <right style="thin"/>
      <top>
        <color indexed="63"/>
      </top>
      <bottom style="thin"/>
    </border>
    <border>
      <left style="medium"/>
      <right style="thin"/>
      <top style="medium"/>
      <bottom style="thin"/>
    </border>
    <border>
      <left style="thin"/>
      <right>
        <color indexed="63"/>
      </right>
      <top style="thin"/>
      <bottom style="medium"/>
    </border>
    <border>
      <left style="thin"/>
      <right style="medium"/>
      <top style="thin"/>
      <bottom style="thin"/>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thin"/>
      <right style="thin"/>
      <top>
        <color indexed="63"/>
      </top>
      <bottom style="medium"/>
    </border>
    <border>
      <left>
        <color indexed="63"/>
      </left>
      <right style="medium"/>
      <top>
        <color indexed="63"/>
      </top>
      <bottom style="thin"/>
    </border>
    <border>
      <left style="medium"/>
      <right>
        <color indexed="63"/>
      </right>
      <top style="medium"/>
      <bottom style="medium"/>
    </border>
    <border>
      <left style="thin"/>
      <right>
        <color indexed="63"/>
      </right>
      <top>
        <color indexed="63"/>
      </top>
      <bottom style="medium"/>
    </border>
    <border>
      <left style="medium"/>
      <right style="medium"/>
      <top style="thin"/>
      <bottom style="medium"/>
    </border>
    <border>
      <left>
        <color indexed="63"/>
      </left>
      <right style="medium"/>
      <top style="medium"/>
      <bottom style="thin"/>
    </border>
    <border>
      <left style="thin"/>
      <right style="medium"/>
      <top>
        <color indexed="63"/>
      </top>
      <bottom style="thin"/>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4" fillId="20" borderId="1" applyNumberFormat="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1" fillId="9" borderId="1" applyNumberFormat="0" applyAlignment="0" applyProtection="0"/>
    <xf numFmtId="0" fontId="8" fillId="0" borderId="0" applyNumberFormat="0" applyFill="0" applyBorder="0" applyAlignment="0" applyProtection="0"/>
    <xf numFmtId="0" fontId="25" fillId="20"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0" fontId="27" fillId="0" borderId="3" applyNumberFormat="0" applyFill="0" applyAlignment="0" applyProtection="0"/>
    <xf numFmtId="0" fontId="17" fillId="6" borderId="0" applyNumberFormat="0" applyBorder="0" applyAlignment="0" applyProtection="0"/>
    <xf numFmtId="0" fontId="23" fillId="2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24" fillId="0" borderId="0">
      <alignment/>
      <protection/>
    </xf>
    <xf numFmtId="0" fontId="24" fillId="0" borderId="0">
      <alignment/>
      <protection/>
    </xf>
    <xf numFmtId="0" fontId="0" fillId="0" borderId="0">
      <alignment/>
      <protection/>
    </xf>
    <xf numFmtId="0" fontId="26"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5" fillId="22" borderId="4" applyNumberFormat="0" applyAlignment="0" applyProtection="0"/>
    <xf numFmtId="0" fontId="0" fillId="23" borderId="5" applyNumberFormat="0" applyFont="0" applyAlignment="0" applyProtection="0"/>
    <xf numFmtId="9" fontId="0" fillId="0" borderId="0" applyFont="0" applyFill="0" applyBorder="0" applyAlignment="0" applyProtection="0"/>
    <xf numFmtId="0" fontId="22" fillId="0" borderId="6" applyNumberFormat="0" applyFill="0" applyAlignment="0" applyProtection="0"/>
    <xf numFmtId="0" fontId="13" fillId="5" borderId="0" applyNumberFormat="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cellStyleXfs>
  <cellXfs count="597">
    <xf numFmtId="0" fontId="0" fillId="0" borderId="0" xfId="0" applyAlignment="1">
      <alignment/>
    </xf>
    <xf numFmtId="0" fontId="0" fillId="0" borderId="0" xfId="0" applyFont="1" applyAlignment="1">
      <alignment/>
    </xf>
    <xf numFmtId="0" fontId="3" fillId="0" borderId="0" xfId="0" applyFont="1" applyAlignment="1">
      <alignment horizontal="center" wrapText="1"/>
    </xf>
    <xf numFmtId="0" fontId="6" fillId="0" borderId="0" xfId="0" applyFont="1" applyAlignment="1">
      <alignment horizontal="centerContinuous"/>
    </xf>
    <xf numFmtId="0" fontId="5" fillId="0" borderId="10" xfId="0" applyFont="1" applyBorder="1" applyAlignment="1">
      <alignment/>
    </xf>
    <xf numFmtId="0" fontId="5" fillId="0" borderId="11" xfId="0" applyFont="1" applyBorder="1" applyAlignment="1">
      <alignment/>
    </xf>
    <xf numFmtId="0" fontId="0" fillId="0" borderId="12" xfId="0" applyFont="1" applyBorder="1" applyAlignment="1">
      <alignment/>
    </xf>
    <xf numFmtId="1" fontId="4" fillId="0" borderId="0" xfId="0" applyNumberFormat="1" applyFont="1" applyAlignment="1">
      <alignment/>
    </xf>
    <xf numFmtId="1" fontId="5" fillId="0" borderId="0" xfId="0" applyNumberFormat="1" applyFont="1" applyAlignment="1">
      <alignment/>
    </xf>
    <xf numFmtId="0" fontId="4" fillId="0" borderId="0" xfId="0" applyFont="1" applyAlignment="1">
      <alignment/>
    </xf>
    <xf numFmtId="0" fontId="1" fillId="0" borderId="13" xfId="0" applyFont="1" applyBorder="1" applyAlignment="1">
      <alignment/>
    </xf>
    <xf numFmtId="193" fontId="0" fillId="0" borderId="0" xfId="0" applyNumberFormat="1" applyAlignment="1">
      <alignment/>
    </xf>
    <xf numFmtId="3" fontId="9" fillId="0" borderId="0" xfId="0" applyNumberFormat="1" applyFont="1" applyAlignment="1">
      <alignment wrapText="1"/>
    </xf>
    <xf numFmtId="3" fontId="9" fillId="0" borderId="0" xfId="0" applyNumberFormat="1" applyFont="1" applyAlignment="1">
      <alignment/>
    </xf>
    <xf numFmtId="0" fontId="9" fillId="0" borderId="0" xfId="0" applyFont="1" applyAlignment="1">
      <alignment horizontal="right"/>
    </xf>
    <xf numFmtId="0" fontId="10" fillId="0" borderId="0" xfId="0" applyFont="1" applyAlignment="1">
      <alignment horizontal="left" wrapText="1"/>
    </xf>
    <xf numFmtId="0" fontId="10" fillId="0" borderId="0" xfId="0" applyFont="1" applyAlignment="1">
      <alignment/>
    </xf>
    <xf numFmtId="3" fontId="10" fillId="0" borderId="0" xfId="0" applyNumberFormat="1" applyFont="1" applyAlignment="1">
      <alignment/>
    </xf>
    <xf numFmtId="0" fontId="9" fillId="0" borderId="0" xfId="0" applyFont="1" applyAlignment="1">
      <alignment wrapText="1"/>
    </xf>
    <xf numFmtId="0" fontId="9" fillId="0" borderId="0" xfId="0" applyFont="1" applyAlignment="1">
      <alignment horizontal="left" vertical="center" wrapText="1"/>
    </xf>
    <xf numFmtId="0" fontId="0" fillId="0" borderId="14" xfId="0" applyFont="1" applyBorder="1" applyAlignment="1">
      <alignment/>
    </xf>
    <xf numFmtId="3" fontId="9" fillId="0" borderId="0" xfId="0" applyNumberFormat="1" applyFont="1" applyAlignment="1">
      <alignment horizontal="right" wrapText="1"/>
    </xf>
    <xf numFmtId="3" fontId="9" fillId="0" borderId="0" xfId="0" applyNumberFormat="1" applyFont="1" applyAlignment="1">
      <alignment horizontal="right"/>
    </xf>
    <xf numFmtId="0" fontId="0" fillId="0" borderId="0" xfId="0" applyFont="1" applyAlignment="1">
      <alignment/>
    </xf>
    <xf numFmtId="0" fontId="9" fillId="0" borderId="0" xfId="0" applyFont="1" applyAlignment="1">
      <alignment horizontal="center" vertical="center" wrapText="1"/>
    </xf>
    <xf numFmtId="0" fontId="0" fillId="0" borderId="0" xfId="0" applyFont="1" applyAlignment="1">
      <alignment wrapText="1"/>
    </xf>
    <xf numFmtId="0" fontId="9" fillId="0" borderId="0" xfId="0" applyFont="1" applyAlignment="1">
      <alignment horizontal="left" wrapText="1"/>
    </xf>
    <xf numFmtId="0" fontId="9" fillId="0" borderId="0" xfId="0" applyFont="1" applyAlignment="1">
      <alignment/>
    </xf>
    <xf numFmtId="0" fontId="2" fillId="0" borderId="0" xfId="0" applyFont="1" applyAlignment="1">
      <alignment/>
    </xf>
    <xf numFmtId="0" fontId="0" fillId="0" borderId="14" xfId="0" applyBorder="1" applyAlignment="1">
      <alignment/>
    </xf>
    <xf numFmtId="0" fontId="0" fillId="0" borderId="14" xfId="0" applyBorder="1" applyAlignment="1">
      <alignment horizontal="center" wrapText="1"/>
    </xf>
    <xf numFmtId="9" fontId="0" fillId="0" borderId="14" xfId="0" applyNumberFormat="1" applyFont="1" applyBorder="1" applyAlignment="1">
      <alignment horizontal="center" wrapText="1"/>
    </xf>
    <xf numFmtId="0" fontId="0" fillId="0" borderId="14" xfId="0" applyBorder="1" applyAlignment="1">
      <alignment wrapText="1"/>
    </xf>
    <xf numFmtId="3" fontId="9" fillId="0" borderId="14" xfId="0" applyNumberFormat="1" applyFont="1" applyBorder="1" applyAlignment="1">
      <alignment/>
    </xf>
    <xf numFmtId="1" fontId="1" fillId="0" borderId="14" xfId="0" applyNumberFormat="1" applyFont="1" applyBorder="1" applyAlignment="1">
      <alignment/>
    </xf>
    <xf numFmtId="0" fontId="1" fillId="0" borderId="14" xfId="0" applyFont="1" applyBorder="1" applyAlignment="1">
      <alignment/>
    </xf>
    <xf numFmtId="3" fontId="2" fillId="0" borderId="14" xfId="0" applyNumberFormat="1" applyFont="1" applyBorder="1" applyAlignment="1">
      <alignment/>
    </xf>
    <xf numFmtId="1" fontId="0" fillId="0" borderId="0" xfId="0" applyNumberFormat="1" applyAlignment="1">
      <alignment/>
    </xf>
    <xf numFmtId="0" fontId="33" fillId="0" borderId="14" xfId="0" applyFont="1" applyBorder="1" applyAlignment="1">
      <alignment/>
    </xf>
    <xf numFmtId="3" fontId="0" fillId="0" borderId="14" xfId="0" applyNumberFormat="1" applyBorder="1" applyAlignment="1">
      <alignment/>
    </xf>
    <xf numFmtId="3" fontId="9" fillId="0" borderId="14" xfId="0" applyNumberFormat="1" applyFont="1" applyBorder="1" applyAlignment="1">
      <alignment wrapText="1"/>
    </xf>
    <xf numFmtId="0" fontId="5" fillId="0" borderId="0" xfId="0" applyFont="1" applyAlignment="1">
      <alignment/>
    </xf>
    <xf numFmtId="0" fontId="1" fillId="0" borderId="13" xfId="0" applyFont="1" applyBorder="1" applyAlignment="1">
      <alignment wrapText="1"/>
    </xf>
    <xf numFmtId="3" fontId="10" fillId="0" borderId="14" xfId="0" applyNumberFormat="1" applyFont="1" applyBorder="1" applyAlignment="1">
      <alignment/>
    </xf>
    <xf numFmtId="3" fontId="10" fillId="0" borderId="14" xfId="0" applyNumberFormat="1" applyFont="1" applyBorder="1" applyAlignment="1">
      <alignment horizontal="right"/>
    </xf>
    <xf numFmtId="3" fontId="0" fillId="0" borderId="0" xfId="0" applyNumberFormat="1" applyAlignment="1">
      <alignment/>
    </xf>
    <xf numFmtId="0" fontId="35" fillId="0" borderId="0" xfId="0" applyFont="1" applyAlignment="1">
      <alignment horizontal="center" wrapText="1"/>
    </xf>
    <xf numFmtId="1" fontId="4" fillId="0" borderId="0" xfId="0" applyNumberFormat="1" applyFont="1" applyAlignment="1">
      <alignment/>
    </xf>
    <xf numFmtId="0" fontId="0" fillId="0" borderId="15" xfId="0" applyFont="1" applyBorder="1" applyAlignment="1">
      <alignment/>
    </xf>
    <xf numFmtId="1" fontId="4" fillId="0" borderId="16" xfId="0" applyNumberFormat="1" applyFont="1" applyBorder="1" applyAlignment="1">
      <alignment/>
    </xf>
    <xf numFmtId="0" fontId="0" fillId="0" borderId="10" xfId="0" applyFont="1" applyBorder="1" applyAlignment="1">
      <alignment/>
    </xf>
    <xf numFmtId="1" fontId="5" fillId="0" borderId="11" xfId="0" applyNumberFormat="1" applyFont="1" applyBorder="1" applyAlignment="1">
      <alignment/>
    </xf>
    <xf numFmtId="0" fontId="4" fillId="0" borderId="0" xfId="0" applyFont="1" applyAlignment="1">
      <alignment wrapText="1"/>
    </xf>
    <xf numFmtId="3" fontId="2" fillId="0" borderId="0" xfId="0" applyNumberFormat="1" applyFont="1" applyAlignment="1">
      <alignment/>
    </xf>
    <xf numFmtId="202" fontId="0" fillId="0" borderId="0" xfId="0" applyNumberFormat="1" applyAlignment="1">
      <alignment/>
    </xf>
    <xf numFmtId="1" fontId="5" fillId="0" borderId="17" xfId="0" applyNumberFormat="1" applyFont="1" applyBorder="1" applyAlignment="1">
      <alignment/>
    </xf>
    <xf numFmtId="3" fontId="34" fillId="0" borderId="0" xfId="0" applyNumberFormat="1" applyFont="1" applyAlignment="1">
      <alignment/>
    </xf>
    <xf numFmtId="0" fontId="30" fillId="0" borderId="14" xfId="0" applyFont="1" applyBorder="1" applyAlignment="1">
      <alignment wrapText="1"/>
    </xf>
    <xf numFmtId="0" fontId="30" fillId="0" borderId="14" xfId="0" applyFont="1" applyBorder="1" applyAlignment="1">
      <alignment/>
    </xf>
    <xf numFmtId="0" fontId="9" fillId="0" borderId="14" xfId="0" applyFont="1" applyBorder="1" applyAlignment="1">
      <alignment/>
    </xf>
    <xf numFmtId="0" fontId="34" fillId="0" borderId="0" xfId="0" applyFont="1" applyAlignment="1">
      <alignment/>
    </xf>
    <xf numFmtId="0" fontId="0" fillId="0" borderId="14" xfId="0" applyFont="1" applyBorder="1" applyAlignment="1">
      <alignment horizontal="center" wrapText="1"/>
    </xf>
    <xf numFmtId="0" fontId="37" fillId="0" borderId="0" xfId="0" applyFont="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wrapText="1"/>
    </xf>
    <xf numFmtId="3" fontId="9" fillId="0" borderId="18" xfId="0" applyNumberFormat="1" applyFont="1" applyBorder="1" applyAlignment="1">
      <alignment/>
    </xf>
    <xf numFmtId="0" fontId="9" fillId="0" borderId="14" xfId="0" applyFont="1" applyBorder="1" applyAlignment="1">
      <alignment wrapText="1"/>
    </xf>
    <xf numFmtId="0" fontId="10" fillId="0" borderId="14" xfId="0" applyFont="1" applyBorder="1" applyAlignment="1">
      <alignment wrapText="1"/>
    </xf>
    <xf numFmtId="0" fontId="10" fillId="0" borderId="14" xfId="0" applyFont="1" applyBorder="1" applyAlignment="1">
      <alignment horizontal="left" wrapText="1"/>
    </xf>
    <xf numFmtId="0" fontId="9" fillId="0" borderId="14" xfId="0" applyFont="1" applyBorder="1" applyAlignment="1">
      <alignment horizontal="left" wrapText="1"/>
    </xf>
    <xf numFmtId="0" fontId="10" fillId="0" borderId="0" xfId="0" applyFont="1" applyAlignment="1">
      <alignment wrapText="1"/>
    </xf>
    <xf numFmtId="3" fontId="9" fillId="24" borderId="14" xfId="0" applyNumberFormat="1" applyFont="1" applyFill="1" applyBorder="1" applyAlignment="1">
      <alignment/>
    </xf>
    <xf numFmtId="1" fontId="5" fillId="0" borderId="13" xfId="0" applyNumberFormat="1" applyFont="1" applyBorder="1" applyAlignment="1">
      <alignment/>
    </xf>
    <xf numFmtId="3" fontId="0" fillId="0" borderId="14" xfId="0" applyNumberFormat="1" applyFont="1" applyBorder="1" applyAlignment="1">
      <alignment/>
    </xf>
    <xf numFmtId="49" fontId="9" fillId="0" borderId="14" xfId="0" applyNumberFormat="1" applyFont="1" applyBorder="1" applyAlignment="1">
      <alignment horizontal="right"/>
    </xf>
    <xf numFmtId="49" fontId="9" fillId="0" borderId="14" xfId="0" applyNumberFormat="1" applyFont="1" applyBorder="1" applyAlignment="1">
      <alignment horizontal="left"/>
    </xf>
    <xf numFmtId="0" fontId="2" fillId="0" borderId="0" xfId="0" applyFont="1" applyAlignment="1">
      <alignment horizontal="right" wrapText="1"/>
    </xf>
    <xf numFmtId="3" fontId="34" fillId="0" borderId="14" xfId="0" applyNumberFormat="1" applyFont="1" applyBorder="1" applyAlignment="1">
      <alignment/>
    </xf>
    <xf numFmtId="0" fontId="9" fillId="0" borderId="19" xfId="51" applyFont="1" applyBorder="1" applyAlignment="1">
      <alignment horizontal="left" wrapText="1"/>
      <protection/>
    </xf>
    <xf numFmtId="0" fontId="0" fillId="0" borderId="0" xfId="0" applyFont="1" applyAlignment="1">
      <alignment horizontal="centerContinuous"/>
    </xf>
    <xf numFmtId="0" fontId="1" fillId="0" borderId="0" xfId="0" applyFont="1" applyAlignment="1">
      <alignment horizontal="centerContinuous"/>
    </xf>
    <xf numFmtId="0" fontId="1" fillId="0" borderId="20" xfId="0" applyFont="1" applyBorder="1" applyAlignment="1">
      <alignment/>
    </xf>
    <xf numFmtId="0" fontId="1" fillId="0" borderId="11" xfId="0" applyFont="1" applyBorder="1" applyAlignment="1">
      <alignment/>
    </xf>
    <xf numFmtId="0" fontId="0" fillId="0" borderId="21" xfId="0" applyFont="1" applyBorder="1" applyAlignment="1">
      <alignment/>
    </xf>
    <xf numFmtId="1" fontId="5" fillId="0" borderId="22" xfId="0" applyNumberFormat="1" applyFont="1" applyBorder="1" applyAlignment="1">
      <alignment/>
    </xf>
    <xf numFmtId="0" fontId="0" fillId="0" borderId="23" xfId="0" applyFont="1" applyBorder="1" applyAlignment="1">
      <alignment/>
    </xf>
    <xf numFmtId="1" fontId="5" fillId="0" borderId="24" xfId="0" applyNumberFormat="1" applyFont="1" applyBorder="1" applyAlignment="1">
      <alignment/>
    </xf>
    <xf numFmtId="0" fontId="0" fillId="0" borderId="10" xfId="0" applyFont="1" applyBorder="1" applyAlignment="1">
      <alignment wrapText="1"/>
    </xf>
    <xf numFmtId="0" fontId="5" fillId="0" borderId="13" xfId="0" applyFont="1" applyBorder="1" applyAlignment="1">
      <alignment/>
    </xf>
    <xf numFmtId="0" fontId="0" fillId="0" borderId="0" xfId="0" applyFont="1" applyAlignment="1">
      <alignment wrapText="1"/>
    </xf>
    <xf numFmtId="0" fontId="1" fillId="0" borderId="13" xfId="0" applyFont="1" applyBorder="1" applyAlignment="1">
      <alignment/>
    </xf>
    <xf numFmtId="0" fontId="1" fillId="0" borderId="13" xfId="0" applyFont="1" applyBorder="1" applyAlignment="1">
      <alignment horizontal="center" wrapText="1"/>
    </xf>
    <xf numFmtId="0" fontId="1" fillId="0" borderId="20" xfId="0" applyFont="1" applyBorder="1" applyAlignment="1">
      <alignment wrapText="1"/>
    </xf>
    <xf numFmtId="0" fontId="1" fillId="0" borderId="13" xfId="0" applyFont="1" applyBorder="1" applyAlignment="1">
      <alignment wrapText="1"/>
    </xf>
    <xf numFmtId="0" fontId="1" fillId="0" borderId="25" xfId="0" applyFont="1" applyBorder="1" applyAlignment="1">
      <alignment wrapText="1"/>
    </xf>
    <xf numFmtId="0" fontId="10" fillId="0" borderId="26" xfId="0" applyFont="1" applyBorder="1" applyAlignment="1">
      <alignment/>
    </xf>
    <xf numFmtId="0" fontId="0" fillId="0" borderId="27" xfId="0" applyFont="1" applyBorder="1" applyAlignment="1">
      <alignment/>
    </xf>
    <xf numFmtId="1" fontId="5" fillId="0" borderId="28" xfId="0" applyNumberFormat="1" applyFont="1" applyBorder="1" applyAlignment="1">
      <alignment/>
    </xf>
    <xf numFmtId="1" fontId="4" fillId="0" borderId="25" xfId="0" applyNumberFormat="1" applyFont="1" applyBorder="1" applyAlignment="1">
      <alignment/>
    </xf>
    <xf numFmtId="0" fontId="0" fillId="0" borderId="29" xfId="0" applyFont="1" applyBorder="1" applyAlignment="1">
      <alignment/>
    </xf>
    <xf numFmtId="1" fontId="5" fillId="0" borderId="30" xfId="0" applyNumberFormat="1" applyFont="1" applyBorder="1" applyAlignment="1">
      <alignment/>
    </xf>
    <xf numFmtId="1" fontId="5" fillId="0" borderId="31" xfId="0" applyNumberFormat="1" applyFont="1" applyBorder="1" applyAlignment="1">
      <alignment/>
    </xf>
    <xf numFmtId="0" fontId="9" fillId="0" borderId="32" xfId="51" applyFont="1" applyBorder="1" applyAlignment="1">
      <alignment horizontal="left" wrapText="1"/>
      <protection/>
    </xf>
    <xf numFmtId="3" fontId="10" fillId="0" borderId="0" xfId="0" applyNumberFormat="1" applyFont="1" applyAlignment="1">
      <alignment horizontal="right"/>
    </xf>
    <xf numFmtId="3" fontId="42" fillId="0" borderId="14" xfId="0" applyNumberFormat="1" applyFont="1" applyBorder="1" applyAlignment="1">
      <alignment/>
    </xf>
    <xf numFmtId="0" fontId="9" fillId="0" borderId="18" xfId="51" applyFont="1" applyBorder="1" applyAlignment="1">
      <alignment horizontal="left" wrapText="1"/>
      <protection/>
    </xf>
    <xf numFmtId="0" fontId="0" fillId="0" borderId="33" xfId="0" applyBorder="1" applyAlignment="1">
      <alignment/>
    </xf>
    <xf numFmtId="0" fontId="41" fillId="0" borderId="14" xfId="0" applyFont="1" applyBorder="1" applyAlignment="1">
      <alignment horizontal="center" wrapText="1"/>
    </xf>
    <xf numFmtId="3" fontId="31" fillId="0" borderId="0" xfId="0" applyNumberFormat="1" applyFont="1" applyAlignment="1">
      <alignment/>
    </xf>
    <xf numFmtId="0" fontId="10" fillId="0" borderId="34" xfId="0" applyFont="1" applyBorder="1" applyAlignment="1">
      <alignment/>
    </xf>
    <xf numFmtId="1" fontId="10" fillId="0" borderId="34" xfId="0" applyNumberFormat="1" applyFont="1" applyBorder="1" applyAlignment="1">
      <alignment/>
    </xf>
    <xf numFmtId="0" fontId="59" fillId="0" borderId="0" xfId="0" applyFont="1" applyAlignment="1">
      <alignment/>
    </xf>
    <xf numFmtId="0" fontId="0" fillId="0" borderId="18" xfId="0" applyFont="1" applyBorder="1" applyAlignment="1">
      <alignment/>
    </xf>
    <xf numFmtId="0" fontId="41" fillId="0" borderId="18" xfId="0" applyFont="1" applyBorder="1" applyAlignment="1">
      <alignment horizontal="center" wrapText="1"/>
    </xf>
    <xf numFmtId="49" fontId="2" fillId="0" borderId="0" xfId="0" applyNumberFormat="1" applyFont="1" applyAlignment="1">
      <alignment/>
    </xf>
    <xf numFmtId="3" fontId="43" fillId="0" borderId="0" xfId="0" applyNumberFormat="1" applyFont="1" applyAlignment="1">
      <alignment horizontal="right"/>
    </xf>
    <xf numFmtId="3" fontId="30" fillId="0" borderId="0" xfId="0" applyNumberFormat="1" applyFont="1" applyAlignment="1">
      <alignment horizontal="right"/>
    </xf>
    <xf numFmtId="3" fontId="30" fillId="25" borderId="14" xfId="0" applyNumberFormat="1" applyFont="1" applyFill="1" applyBorder="1" applyAlignment="1">
      <alignment/>
    </xf>
    <xf numFmtId="3" fontId="1" fillId="0" borderId="14" xfId="0" applyNumberFormat="1" applyFont="1" applyBorder="1" applyAlignment="1">
      <alignment/>
    </xf>
    <xf numFmtId="3" fontId="9" fillId="0" borderId="14" xfId="0" applyNumberFormat="1" applyFont="1" applyBorder="1" applyAlignment="1">
      <alignment horizontal="left" wrapText="1"/>
    </xf>
    <xf numFmtId="0" fontId="9" fillId="0" borderId="35" xfId="0" applyFont="1" applyBorder="1" applyAlignment="1">
      <alignment wrapText="1"/>
    </xf>
    <xf numFmtId="0" fontId="37" fillId="0" borderId="0" xfId="0" applyFont="1" applyAlignment="1">
      <alignment horizontal="center" wrapText="1"/>
    </xf>
    <xf numFmtId="0" fontId="9" fillId="0" borderId="0" xfId="51" applyFont="1" applyAlignment="1">
      <alignment horizontal="left" wrapText="1"/>
      <protection/>
    </xf>
    <xf numFmtId="0" fontId="10" fillId="0" borderId="0" xfId="0" applyFont="1" applyAlignment="1">
      <alignment horizontal="right" wrapText="1"/>
    </xf>
    <xf numFmtId="3" fontId="9" fillId="25" borderId="14" xfId="0" applyNumberFormat="1" applyFont="1" applyFill="1" applyBorder="1" applyAlignment="1">
      <alignment wrapText="1"/>
    </xf>
    <xf numFmtId="0" fontId="0" fillId="25" borderId="14" xfId="0" applyFill="1" applyBorder="1" applyAlignment="1">
      <alignment/>
    </xf>
    <xf numFmtId="3" fontId="44" fillId="0" borderId="14" xfId="0" applyNumberFormat="1" applyFont="1" applyBorder="1" applyAlignment="1">
      <alignment horizontal="right"/>
    </xf>
    <xf numFmtId="3" fontId="44" fillId="0" borderId="14" xfId="0" applyNumberFormat="1" applyFont="1" applyBorder="1" applyAlignment="1">
      <alignment/>
    </xf>
    <xf numFmtId="0" fontId="45" fillId="0" borderId="14" xfId="0" applyFont="1" applyBorder="1" applyAlignment="1">
      <alignment wrapText="1"/>
    </xf>
    <xf numFmtId="49" fontId="45" fillId="0" borderId="14" xfId="0" applyNumberFormat="1" applyFont="1" applyBorder="1" applyAlignment="1">
      <alignment horizontal="left"/>
    </xf>
    <xf numFmtId="49" fontId="45" fillId="0" borderId="14" xfId="0" applyNumberFormat="1" applyFont="1" applyBorder="1" applyAlignment="1">
      <alignment horizontal="right"/>
    </xf>
    <xf numFmtId="0" fontId="45" fillId="0" borderId="14" xfId="0" applyFont="1" applyBorder="1" applyAlignment="1">
      <alignment horizontal="right" wrapText="1"/>
    </xf>
    <xf numFmtId="0" fontId="60" fillId="0" borderId="14" xfId="0" applyFont="1" applyBorder="1" applyAlignment="1">
      <alignment wrapText="1"/>
    </xf>
    <xf numFmtId="3" fontId="44" fillId="25" borderId="14" xfId="0" applyNumberFormat="1" applyFont="1" applyFill="1" applyBorder="1" applyAlignment="1">
      <alignment/>
    </xf>
    <xf numFmtId="0" fontId="48" fillId="0" borderId="14" xfId="0" applyFont="1" applyBorder="1" applyAlignment="1">
      <alignment horizontal="right"/>
    </xf>
    <xf numFmtId="49" fontId="48" fillId="0" borderId="14" xfId="0" applyNumberFormat="1" applyFont="1" applyBorder="1" applyAlignment="1">
      <alignment/>
    </xf>
    <xf numFmtId="2" fontId="48" fillId="0" borderId="14" xfId="0" applyNumberFormat="1" applyFont="1" applyBorder="1" applyAlignment="1">
      <alignment wrapText="1"/>
    </xf>
    <xf numFmtId="0" fontId="48" fillId="0" borderId="0" xfId="0" applyFont="1" applyAlignment="1">
      <alignment/>
    </xf>
    <xf numFmtId="3" fontId="44" fillId="0" borderId="14" xfId="0" applyNumberFormat="1" applyFont="1" applyBorder="1" applyAlignment="1">
      <alignment/>
    </xf>
    <xf numFmtId="0" fontId="61" fillId="0" borderId="14" xfId="0" applyFont="1" applyBorder="1" applyAlignment="1">
      <alignment horizontal="left"/>
    </xf>
    <xf numFmtId="3" fontId="49" fillId="0" borderId="14" xfId="0" applyNumberFormat="1" applyFont="1" applyBorder="1" applyAlignment="1">
      <alignment horizontal="right"/>
    </xf>
    <xf numFmtId="0" fontId="62" fillId="0" borderId="14" xfId="0" applyFont="1" applyBorder="1" applyAlignment="1">
      <alignment wrapText="1"/>
    </xf>
    <xf numFmtId="0" fontId="9" fillId="24" borderId="14" xfId="0" applyFont="1" applyFill="1" applyBorder="1" applyAlignment="1">
      <alignment wrapText="1"/>
    </xf>
    <xf numFmtId="0" fontId="9" fillId="0" borderId="14" xfId="0" applyFont="1" applyBorder="1" applyAlignment="1">
      <alignment horizontal="right" wrapText="1"/>
    </xf>
    <xf numFmtId="0" fontId="9" fillId="0" borderId="14" xfId="51" applyFont="1" applyBorder="1" applyAlignment="1">
      <alignment horizontal="right" wrapText="1"/>
      <protection/>
    </xf>
    <xf numFmtId="0" fontId="9" fillId="0" borderId="14" xfId="0" applyFont="1" applyBorder="1" applyAlignment="1">
      <alignment horizontal="left"/>
    </xf>
    <xf numFmtId="3" fontId="9" fillId="0" borderId="14" xfId="0" applyNumberFormat="1" applyFont="1" applyBorder="1" applyAlignment="1">
      <alignment horizontal="right"/>
    </xf>
    <xf numFmtId="49" fontId="9" fillId="0" borderId="0" xfId="0" applyNumberFormat="1" applyFont="1" applyAlignment="1">
      <alignment/>
    </xf>
    <xf numFmtId="0" fontId="31" fillId="0" borderId="14" xfId="0" applyFont="1" applyBorder="1" applyAlignment="1">
      <alignment horizontal="center"/>
    </xf>
    <xf numFmtId="49" fontId="31" fillId="0" borderId="14" xfId="0" applyNumberFormat="1" applyFont="1" applyBorder="1" applyAlignment="1">
      <alignment horizontal="center" wrapText="1"/>
    </xf>
    <xf numFmtId="3" fontId="31" fillId="0" borderId="14" xfId="0" applyNumberFormat="1" applyFont="1" applyBorder="1" applyAlignment="1">
      <alignment horizontal="center"/>
    </xf>
    <xf numFmtId="49" fontId="31" fillId="0" borderId="14" xfId="0" applyNumberFormat="1" applyFont="1" applyBorder="1" applyAlignment="1">
      <alignment horizontal="center"/>
    </xf>
    <xf numFmtId="0" fontId="10" fillId="0" borderId="14" xfId="0" applyFont="1" applyBorder="1" applyAlignment="1">
      <alignment horizontal="left"/>
    </xf>
    <xf numFmtId="49" fontId="10" fillId="0" borderId="14" xfId="0" applyNumberFormat="1" applyFont="1" applyBorder="1" applyAlignment="1">
      <alignment horizontal="left"/>
    </xf>
    <xf numFmtId="3" fontId="10" fillId="6" borderId="14" xfId="0" applyNumberFormat="1" applyFont="1" applyFill="1" applyBorder="1" applyAlignment="1">
      <alignment horizontal="right"/>
    </xf>
    <xf numFmtId="0" fontId="9" fillId="0" borderId="14" xfId="0" applyFont="1" applyBorder="1" applyAlignment="1">
      <alignment wrapText="1"/>
    </xf>
    <xf numFmtId="3" fontId="50" fillId="0" borderId="14" xfId="0" applyNumberFormat="1" applyFont="1" applyBorder="1" applyAlignment="1">
      <alignment/>
    </xf>
    <xf numFmtId="3" fontId="10" fillId="6" borderId="14" xfId="0" applyNumberFormat="1" applyFont="1" applyFill="1" applyBorder="1" applyAlignment="1">
      <alignment/>
    </xf>
    <xf numFmtId="0" fontId="10" fillId="0" borderId="14" xfId="0" applyFont="1" applyBorder="1" applyAlignment="1">
      <alignment horizontal="right" wrapText="1"/>
    </xf>
    <xf numFmtId="3" fontId="10" fillId="26" borderId="14" xfId="0" applyNumberFormat="1" applyFont="1" applyFill="1" applyBorder="1" applyAlignment="1">
      <alignment/>
    </xf>
    <xf numFmtId="49" fontId="10" fillId="0" borderId="14" xfId="0" applyNumberFormat="1" applyFont="1" applyBorder="1" applyAlignment="1">
      <alignment/>
    </xf>
    <xf numFmtId="0" fontId="9" fillId="0" borderId="14" xfId="0" applyFont="1" applyBorder="1" applyAlignment="1">
      <alignment horizontal="justify" vertical="center"/>
    </xf>
    <xf numFmtId="49" fontId="9" fillId="0" borderId="14" xfId="0" applyNumberFormat="1" applyFont="1" applyBorder="1" applyAlignment="1">
      <alignment/>
    </xf>
    <xf numFmtId="0" fontId="9" fillId="0" borderId="14" xfId="0" applyFont="1" applyBorder="1" applyAlignment="1">
      <alignment horizontal="justify"/>
    </xf>
    <xf numFmtId="3" fontId="9" fillId="25" borderId="14" xfId="0" applyNumberFormat="1" applyFont="1" applyFill="1" applyBorder="1" applyAlignment="1">
      <alignment/>
    </xf>
    <xf numFmtId="0" fontId="9" fillId="25" borderId="14" xfId="0" applyFont="1" applyFill="1" applyBorder="1" applyAlignment="1">
      <alignment horizontal="right" wrapText="1"/>
    </xf>
    <xf numFmtId="49" fontId="9" fillId="25" borderId="14" xfId="0" applyNumberFormat="1" applyFont="1" applyFill="1" applyBorder="1" applyAlignment="1">
      <alignment/>
    </xf>
    <xf numFmtId="0" fontId="9" fillId="25" borderId="14" xfId="0" applyFont="1" applyFill="1" applyBorder="1" applyAlignment="1">
      <alignment/>
    </xf>
    <xf numFmtId="0" fontId="9" fillId="25" borderId="14" xfId="0" applyFont="1" applyFill="1" applyBorder="1" applyAlignment="1">
      <alignment wrapText="1"/>
    </xf>
    <xf numFmtId="0" fontId="9" fillId="25" borderId="14" xfId="0" applyFont="1" applyFill="1" applyBorder="1" applyAlignment="1">
      <alignment horizontal="left"/>
    </xf>
    <xf numFmtId="0" fontId="9" fillId="25" borderId="0" xfId="0" applyFont="1" applyFill="1" applyAlignment="1">
      <alignment/>
    </xf>
    <xf numFmtId="49" fontId="9" fillId="25" borderId="14" xfId="0" applyNumberFormat="1" applyFont="1" applyFill="1" applyBorder="1" applyAlignment="1">
      <alignment horizontal="left"/>
    </xf>
    <xf numFmtId="0" fontId="10" fillId="0" borderId="14" xfId="0" applyFont="1" applyBorder="1" applyAlignment="1">
      <alignment/>
    </xf>
    <xf numFmtId="0" fontId="10" fillId="0" borderId="14" xfId="0" applyFont="1" applyBorder="1" applyAlignment="1">
      <alignment horizontal="right"/>
    </xf>
    <xf numFmtId="0" fontId="9" fillId="0" borderId="14" xfId="0" applyFont="1" applyBorder="1" applyAlignment="1">
      <alignment horizontal="right"/>
    </xf>
    <xf numFmtId="0" fontId="9" fillId="0" borderId="14" xfId="0" applyFont="1" applyBorder="1" applyAlignment="1">
      <alignment horizontal="right" wrapText="1"/>
    </xf>
    <xf numFmtId="3" fontId="9" fillId="0" borderId="14" xfId="0" applyNumberFormat="1" applyFont="1" applyBorder="1" applyAlignment="1">
      <alignment/>
    </xf>
    <xf numFmtId="1" fontId="1" fillId="0" borderId="36" xfId="0" applyNumberFormat="1" applyFont="1" applyBorder="1" applyAlignment="1">
      <alignment/>
    </xf>
    <xf numFmtId="3" fontId="63" fillId="0" borderId="14" xfId="0" applyNumberFormat="1" applyFont="1" applyBorder="1" applyAlignment="1">
      <alignment/>
    </xf>
    <xf numFmtId="3" fontId="62" fillId="0" borderId="14" xfId="0" applyNumberFormat="1" applyFont="1" applyBorder="1" applyAlignment="1">
      <alignment/>
    </xf>
    <xf numFmtId="3" fontId="0" fillId="0" borderId="18" xfId="0" applyNumberFormat="1" applyFont="1" applyBorder="1" applyAlignment="1">
      <alignment/>
    </xf>
    <xf numFmtId="49" fontId="9" fillId="25" borderId="14" xfId="0" applyNumberFormat="1" applyFont="1" applyFill="1" applyBorder="1" applyAlignment="1">
      <alignment horizontal="right"/>
    </xf>
    <xf numFmtId="0" fontId="31" fillId="0" borderId="14" xfId="0" applyFont="1" applyBorder="1" applyAlignment="1">
      <alignment horizontal="center" vertical="center" wrapText="1"/>
    </xf>
    <xf numFmtId="3" fontId="1" fillId="0" borderId="0" xfId="0" applyNumberFormat="1" applyFont="1" applyAlignment="1">
      <alignment/>
    </xf>
    <xf numFmtId="0" fontId="51" fillId="0" borderId="14" xfId="0" applyFont="1" applyBorder="1" applyAlignment="1">
      <alignment wrapText="1"/>
    </xf>
    <xf numFmtId="3" fontId="45" fillId="0" borderId="14" xfId="0" applyNumberFormat="1" applyFont="1" applyBorder="1" applyAlignment="1">
      <alignment horizontal="right"/>
    </xf>
    <xf numFmtId="3" fontId="10" fillId="27" borderId="14" xfId="0" applyNumberFormat="1" applyFont="1" applyFill="1" applyBorder="1" applyAlignment="1">
      <alignment/>
    </xf>
    <xf numFmtId="0" fontId="9" fillId="0" borderId="0" xfId="57" applyFont="1" applyAlignment="1">
      <alignment wrapText="1"/>
      <protection/>
    </xf>
    <xf numFmtId="0" fontId="9" fillId="0" borderId="14" xfId="57" applyFont="1" applyBorder="1" applyAlignment="1">
      <alignment wrapText="1"/>
      <protection/>
    </xf>
    <xf numFmtId="0" fontId="9" fillId="0" borderId="18" xfId="57" applyFont="1" applyBorder="1" applyAlignment="1">
      <alignment horizontal="left" wrapText="1"/>
      <protection/>
    </xf>
    <xf numFmtId="0" fontId="9" fillId="0" borderId="14" xfId="57" applyFont="1" applyBorder="1" applyAlignment="1">
      <alignment horizontal="left" wrapText="1"/>
      <protection/>
    </xf>
    <xf numFmtId="49" fontId="10" fillId="0" borderId="37" xfId="57" applyNumberFormat="1" applyFont="1" applyBorder="1" applyAlignment="1">
      <alignment horizontal="right"/>
      <protection/>
    </xf>
    <xf numFmtId="49" fontId="9" fillId="0" borderId="37" xfId="57" applyNumberFormat="1" applyFont="1" applyBorder="1" applyAlignment="1">
      <alignment horizontal="right"/>
      <protection/>
    </xf>
    <xf numFmtId="0" fontId="9" fillId="0" borderId="16" xfId="57" applyFont="1" applyBorder="1" applyAlignment="1">
      <alignment horizontal="left" wrapText="1"/>
      <protection/>
    </xf>
    <xf numFmtId="49" fontId="9" fillId="0" borderId="12" xfId="57" applyNumberFormat="1" applyFont="1" applyBorder="1" applyAlignment="1">
      <alignment horizontal="right"/>
      <protection/>
    </xf>
    <xf numFmtId="0" fontId="30" fillId="0" borderId="14" xfId="51" applyFont="1" applyBorder="1" applyAlignment="1">
      <alignment horizontal="left" wrapText="1"/>
      <protection/>
    </xf>
    <xf numFmtId="0" fontId="30" fillId="25" borderId="14" xfId="51" applyFont="1" applyFill="1" applyBorder="1" applyAlignment="1">
      <alignment horizontal="left" wrapText="1"/>
      <protection/>
    </xf>
    <xf numFmtId="49" fontId="9" fillId="0" borderId="38" xfId="57" applyNumberFormat="1" applyFont="1" applyBorder="1" applyAlignment="1">
      <alignment horizontal="right"/>
      <protection/>
    </xf>
    <xf numFmtId="0" fontId="9" fillId="0" borderId="32" xfId="57" applyFont="1" applyBorder="1" applyAlignment="1">
      <alignment wrapText="1"/>
      <protection/>
    </xf>
    <xf numFmtId="49" fontId="10" fillId="0" borderId="27" xfId="57" applyNumberFormat="1" applyFont="1" applyBorder="1" applyAlignment="1">
      <alignment horizontal="right"/>
      <protection/>
    </xf>
    <xf numFmtId="0" fontId="30" fillId="0" borderId="32" xfId="51" applyFont="1" applyBorder="1" applyAlignment="1">
      <alignment horizontal="left" wrapText="1"/>
      <protection/>
    </xf>
    <xf numFmtId="3" fontId="64" fillId="25" borderId="14" xfId="0" applyNumberFormat="1" applyFont="1" applyFill="1" applyBorder="1" applyAlignment="1">
      <alignment/>
    </xf>
    <xf numFmtId="1" fontId="4" fillId="0" borderId="32" xfId="0" applyNumberFormat="1" applyFont="1" applyBorder="1" applyAlignment="1">
      <alignment/>
    </xf>
    <xf numFmtId="1" fontId="4" fillId="0" borderId="32" xfId="0" applyNumberFormat="1" applyFont="1" applyBorder="1" applyAlignment="1">
      <alignment wrapText="1"/>
    </xf>
    <xf numFmtId="1" fontId="10" fillId="0" borderId="26" xfId="0" applyNumberFormat="1" applyFont="1" applyBorder="1" applyAlignment="1">
      <alignment/>
    </xf>
    <xf numFmtId="1" fontId="10" fillId="0" borderId="39" xfId="0" applyNumberFormat="1" applyFont="1" applyBorder="1" applyAlignment="1">
      <alignment/>
    </xf>
    <xf numFmtId="0" fontId="10" fillId="0" borderId="40" xfId="0" applyFont="1" applyBorder="1" applyAlignment="1">
      <alignment/>
    </xf>
    <xf numFmtId="0" fontId="4" fillId="0" borderId="32" xfId="0" applyFont="1" applyBorder="1" applyAlignment="1">
      <alignment/>
    </xf>
    <xf numFmtId="0" fontId="5" fillId="0" borderId="39" xfId="0" applyFont="1" applyBorder="1" applyAlignment="1">
      <alignment/>
    </xf>
    <xf numFmtId="0" fontId="9" fillId="0" borderId="14" xfId="0" applyFont="1" applyFill="1" applyBorder="1" applyAlignment="1">
      <alignment wrapText="1"/>
    </xf>
    <xf numFmtId="0" fontId="30" fillId="0" borderId="0" xfId="0" applyFont="1" applyBorder="1" applyAlignment="1">
      <alignment wrapText="1"/>
    </xf>
    <xf numFmtId="49" fontId="9" fillId="0" borderId="14" xfId="0" applyNumberFormat="1" applyFont="1" applyFill="1" applyBorder="1" applyAlignment="1">
      <alignment horizontal="left"/>
    </xf>
    <xf numFmtId="0" fontId="9" fillId="0" borderId="14" xfId="0" applyFont="1" applyFill="1" applyBorder="1" applyAlignment="1">
      <alignment horizontal="left"/>
    </xf>
    <xf numFmtId="3" fontId="44" fillId="0" borderId="14" xfId="0" applyNumberFormat="1" applyFont="1" applyFill="1" applyBorder="1" applyAlignment="1">
      <alignment horizontal="right"/>
    </xf>
    <xf numFmtId="3" fontId="9" fillId="0" borderId="14" xfId="0" applyNumberFormat="1" applyFont="1" applyFill="1" applyBorder="1" applyAlignment="1">
      <alignment/>
    </xf>
    <xf numFmtId="3" fontId="45" fillId="0" borderId="14" xfId="0" applyNumberFormat="1" applyFont="1" applyFill="1" applyBorder="1" applyAlignment="1">
      <alignment/>
    </xf>
    <xf numFmtId="0" fontId="9" fillId="0" borderId="14" xfId="51" applyFont="1" applyFill="1" applyBorder="1" applyAlignment="1">
      <alignment horizontal="right" wrapText="1"/>
      <protection/>
    </xf>
    <xf numFmtId="49" fontId="9" fillId="0" borderId="14" xfId="0" applyNumberFormat="1" applyFont="1" applyFill="1" applyBorder="1" applyAlignment="1">
      <alignment horizontal="right"/>
    </xf>
    <xf numFmtId="0" fontId="9" fillId="0" borderId="14" xfId="0" applyFont="1" applyFill="1" applyBorder="1" applyAlignment="1">
      <alignment horizontal="left" wrapText="1"/>
    </xf>
    <xf numFmtId="3" fontId="9" fillId="0" borderId="14" xfId="0" applyNumberFormat="1" applyFont="1" applyFill="1" applyBorder="1" applyAlignment="1">
      <alignment horizontal="right"/>
    </xf>
    <xf numFmtId="3" fontId="30" fillId="25" borderId="35" xfId="0" applyNumberFormat="1" applyFont="1" applyFill="1" applyBorder="1" applyAlignment="1">
      <alignment/>
    </xf>
    <xf numFmtId="3" fontId="50" fillId="0" borderId="14" xfId="0" applyNumberFormat="1" applyFont="1" applyFill="1" applyBorder="1" applyAlignment="1">
      <alignment/>
    </xf>
    <xf numFmtId="0" fontId="9" fillId="0" borderId="14" xfId="0" applyFont="1" applyFill="1" applyBorder="1" applyAlignment="1">
      <alignment wrapText="1"/>
    </xf>
    <xf numFmtId="49" fontId="45" fillId="0" borderId="14" xfId="0" applyNumberFormat="1" applyFont="1" applyFill="1" applyBorder="1" applyAlignment="1">
      <alignment horizontal="left" wrapText="1"/>
    </xf>
    <xf numFmtId="49" fontId="45" fillId="0" borderId="14" xfId="0" applyNumberFormat="1" applyFont="1" applyFill="1" applyBorder="1" applyAlignment="1">
      <alignment horizontal="right"/>
    </xf>
    <xf numFmtId="0" fontId="10" fillId="0" borderId="14" xfId="0" applyFont="1" applyFill="1" applyBorder="1" applyAlignment="1">
      <alignment/>
    </xf>
    <xf numFmtId="49" fontId="9" fillId="0" borderId="14" xfId="0" applyNumberFormat="1" applyFont="1" applyFill="1" applyBorder="1" applyAlignment="1">
      <alignment/>
    </xf>
    <xf numFmtId="3" fontId="50" fillId="0" borderId="14" xfId="0" applyNumberFormat="1" applyFont="1" applyFill="1" applyBorder="1" applyAlignment="1">
      <alignment horizontal="right"/>
    </xf>
    <xf numFmtId="49" fontId="45" fillId="0" borderId="14" xfId="0" applyNumberFormat="1" applyFont="1" applyFill="1" applyBorder="1" applyAlignment="1">
      <alignment horizontal="left"/>
    </xf>
    <xf numFmtId="0" fontId="53" fillId="0" borderId="14" xfId="0" applyFont="1" applyBorder="1" applyAlignment="1">
      <alignment wrapText="1"/>
    </xf>
    <xf numFmtId="0" fontId="9" fillId="0" borderId="0" xfId="0" applyFont="1" applyFill="1" applyAlignment="1">
      <alignment horizontal="right"/>
    </xf>
    <xf numFmtId="0" fontId="9" fillId="25" borderId="14" xfId="0" applyFont="1" applyFill="1" applyBorder="1" applyAlignment="1">
      <alignment horizontal="left" wrapText="1"/>
    </xf>
    <xf numFmtId="3" fontId="44" fillId="0" borderId="14" xfId="0" applyNumberFormat="1" applyFont="1" applyFill="1" applyBorder="1" applyAlignment="1">
      <alignment/>
    </xf>
    <xf numFmtId="0" fontId="9" fillId="0" borderId="14" xfId="52" applyFont="1" applyFill="1" applyBorder="1" applyAlignment="1">
      <alignment horizontal="right" wrapText="1"/>
      <protection/>
    </xf>
    <xf numFmtId="0" fontId="30" fillId="0" borderId="14" xfId="52" applyFont="1" applyFill="1" applyBorder="1" applyAlignment="1">
      <alignment horizontal="right" wrapText="1"/>
      <protection/>
    </xf>
    <xf numFmtId="0" fontId="9" fillId="0" borderId="14" xfId="52" applyFont="1" applyBorder="1" applyAlignment="1">
      <alignment horizontal="right" wrapText="1"/>
      <protection/>
    </xf>
    <xf numFmtId="3" fontId="50" fillId="0" borderId="14" xfId="0" applyNumberFormat="1" applyFont="1" applyBorder="1" applyAlignment="1">
      <alignment horizontal="right"/>
    </xf>
    <xf numFmtId="0" fontId="9" fillId="0" borderId="0" xfId="0" applyFont="1" applyFill="1" applyAlignment="1">
      <alignment/>
    </xf>
    <xf numFmtId="3" fontId="30" fillId="0" borderId="0" xfId="0" applyNumberFormat="1" applyFont="1" applyAlignment="1">
      <alignment horizontal="center"/>
    </xf>
    <xf numFmtId="3" fontId="55" fillId="0" borderId="0" xfId="0" applyNumberFormat="1" applyFont="1" applyAlignment="1">
      <alignment/>
    </xf>
    <xf numFmtId="3" fontId="9" fillId="0" borderId="0" xfId="0" applyNumberFormat="1" applyFont="1" applyAlignment="1">
      <alignment horizontal="center" wrapText="1"/>
    </xf>
    <xf numFmtId="3" fontId="10" fillId="0" borderId="0" xfId="0" applyNumberFormat="1" applyFont="1" applyAlignment="1">
      <alignment horizontal="center" wrapText="1"/>
    </xf>
    <xf numFmtId="0" fontId="9" fillId="0" borderId="14" xfId="0" applyFont="1" applyBorder="1" applyAlignment="1">
      <alignment horizontal="left" vertical="top" wrapText="1"/>
    </xf>
    <xf numFmtId="3" fontId="61" fillId="25" borderId="14" xfId="0" applyNumberFormat="1" applyFont="1" applyFill="1" applyBorder="1" applyAlignment="1">
      <alignment wrapText="1"/>
    </xf>
    <xf numFmtId="0" fontId="9" fillId="0" borderId="13" xfId="54" applyFont="1" applyFill="1" applyBorder="1" applyAlignment="1">
      <alignment vertical="center" wrapText="1"/>
      <protection/>
    </xf>
    <xf numFmtId="3" fontId="9" fillId="0" borderId="14" xfId="0" applyNumberFormat="1" applyFont="1" applyFill="1" applyBorder="1" applyAlignment="1">
      <alignment wrapText="1"/>
    </xf>
    <xf numFmtId="0" fontId="1" fillId="0" borderId="11" xfId="0" applyFont="1" applyBorder="1" applyAlignment="1">
      <alignment/>
    </xf>
    <xf numFmtId="1" fontId="5" fillId="0" borderId="11" xfId="0" applyNumberFormat="1" applyFont="1" applyBorder="1" applyAlignment="1">
      <alignment/>
    </xf>
    <xf numFmtId="0" fontId="9" fillId="0" borderId="14" xfId="57" applyFont="1" applyBorder="1" applyAlignment="1">
      <alignment horizontal="right" wrapText="1"/>
      <protection/>
    </xf>
    <xf numFmtId="3" fontId="9" fillId="0" borderId="41" xfId="0" applyNumberFormat="1" applyFont="1" applyFill="1" applyBorder="1" applyAlignment="1">
      <alignment/>
    </xf>
    <xf numFmtId="3" fontId="9" fillId="0" borderId="26" xfId="0" applyNumberFormat="1" applyFont="1" applyFill="1" applyBorder="1" applyAlignment="1">
      <alignment/>
    </xf>
    <xf numFmtId="0" fontId="9" fillId="0" borderId="14" xfId="51" applyFont="1" applyFill="1" applyBorder="1" applyAlignment="1">
      <alignment horizontal="left" wrapText="1"/>
      <protection/>
    </xf>
    <xf numFmtId="0" fontId="9" fillId="0" borderId="32" xfId="51" applyFont="1" applyFill="1" applyBorder="1" applyAlignment="1">
      <alignment horizontal="left" wrapText="1"/>
      <protection/>
    </xf>
    <xf numFmtId="3" fontId="64" fillId="0" borderId="14" xfId="0" applyNumberFormat="1" applyFont="1" applyFill="1" applyBorder="1" applyAlignment="1">
      <alignment/>
    </xf>
    <xf numFmtId="3" fontId="46" fillId="0" borderId="14" xfId="0" applyNumberFormat="1" applyFont="1" applyFill="1" applyBorder="1" applyAlignment="1">
      <alignment/>
    </xf>
    <xf numFmtId="3" fontId="47" fillId="0" borderId="14" xfId="0" applyNumberFormat="1" applyFont="1" applyFill="1" applyBorder="1" applyAlignment="1">
      <alignment/>
    </xf>
    <xf numFmtId="3" fontId="65" fillId="0" borderId="14" xfId="0" applyNumberFormat="1" applyFont="1" applyFill="1" applyBorder="1" applyAlignment="1">
      <alignment/>
    </xf>
    <xf numFmtId="3" fontId="9" fillId="0" borderId="14" xfId="0" applyNumberFormat="1" applyFont="1" applyFill="1" applyBorder="1" applyAlignment="1">
      <alignment/>
    </xf>
    <xf numFmtId="0" fontId="30" fillId="0" borderId="14" xfId="57" applyFont="1" applyBorder="1" applyAlignment="1">
      <alignment horizontal="left" wrapText="1"/>
      <protection/>
    </xf>
    <xf numFmtId="3" fontId="9" fillId="0" borderId="0" xfId="0" applyNumberFormat="1" applyFont="1" applyFill="1" applyAlignment="1">
      <alignment horizontal="center" wrapText="1"/>
    </xf>
    <xf numFmtId="3" fontId="9" fillId="0" borderId="0" xfId="0" applyNumberFormat="1" applyFont="1" applyFill="1" applyAlignment="1">
      <alignment/>
    </xf>
    <xf numFmtId="3" fontId="9" fillId="0" borderId="0" xfId="0" applyNumberFormat="1" applyFont="1" applyBorder="1" applyAlignment="1">
      <alignment/>
    </xf>
    <xf numFmtId="3" fontId="10" fillId="0" borderId="34" xfId="0" applyNumberFormat="1" applyFont="1" applyBorder="1" applyAlignment="1">
      <alignment/>
    </xf>
    <xf numFmtId="3" fontId="10" fillId="0" borderId="34" xfId="0" applyNumberFormat="1" applyFont="1" applyBorder="1" applyAlignment="1">
      <alignment horizontal="right" wrapText="1"/>
    </xf>
    <xf numFmtId="3" fontId="10" fillId="0" borderId="26" xfId="0" applyNumberFormat="1" applyFont="1" applyBorder="1" applyAlignment="1">
      <alignment/>
    </xf>
    <xf numFmtId="1" fontId="5" fillId="0" borderId="16" xfId="0" applyNumberFormat="1" applyFont="1" applyBorder="1" applyAlignment="1">
      <alignment/>
    </xf>
    <xf numFmtId="1" fontId="5" fillId="0" borderId="17" xfId="0" applyNumberFormat="1" applyFont="1" applyFill="1" applyBorder="1" applyAlignment="1">
      <alignment/>
    </xf>
    <xf numFmtId="3" fontId="10" fillId="0" borderId="14" xfId="0" applyNumberFormat="1" applyFont="1" applyFill="1" applyBorder="1" applyAlignment="1">
      <alignment/>
    </xf>
    <xf numFmtId="3" fontId="10" fillId="0" borderId="26" xfId="0" applyNumberFormat="1" applyFont="1" applyFill="1" applyBorder="1" applyAlignment="1">
      <alignment/>
    </xf>
    <xf numFmtId="0" fontId="49" fillId="0" borderId="42" xfId="0" applyFont="1" applyBorder="1" applyAlignment="1">
      <alignment/>
    </xf>
    <xf numFmtId="0" fontId="49" fillId="0" borderId="35" xfId="0" applyFont="1" applyBorder="1" applyAlignment="1">
      <alignment/>
    </xf>
    <xf numFmtId="3" fontId="9" fillId="0" borderId="35" xfId="0" applyNumberFormat="1" applyFont="1" applyBorder="1" applyAlignment="1">
      <alignment wrapText="1"/>
    </xf>
    <xf numFmtId="0" fontId="49" fillId="0" borderId="14" xfId="0" applyFont="1" applyBorder="1" applyAlignment="1">
      <alignment/>
    </xf>
    <xf numFmtId="0" fontId="0" fillId="0" borderId="14" xfId="0" applyFont="1" applyBorder="1" applyAlignment="1">
      <alignment wrapText="1"/>
    </xf>
    <xf numFmtId="0" fontId="9" fillId="0" borderId="14" xfId="52" applyFont="1" applyFill="1" applyBorder="1" applyAlignment="1">
      <alignment horizontal="left" wrapText="1"/>
      <protection/>
    </xf>
    <xf numFmtId="0" fontId="45" fillId="0" borderId="0" xfId="0" applyFont="1" applyAlignment="1">
      <alignment/>
    </xf>
    <xf numFmtId="3" fontId="0" fillId="0" borderId="14" xfId="0" applyNumberFormat="1" applyFont="1" applyBorder="1" applyAlignment="1">
      <alignment/>
    </xf>
    <xf numFmtId="3" fontId="44" fillId="25" borderId="14" xfId="0" applyNumberFormat="1" applyFont="1" applyFill="1" applyBorder="1" applyAlignment="1">
      <alignment/>
    </xf>
    <xf numFmtId="0" fontId="30" fillId="0" borderId="14" xfId="51" applyFont="1" applyBorder="1" applyAlignment="1">
      <alignment horizontal="right" wrapText="1"/>
      <protection/>
    </xf>
    <xf numFmtId="3" fontId="44" fillId="0" borderId="14" xfId="0" applyNumberFormat="1" applyFont="1" applyBorder="1" applyAlignment="1">
      <alignment horizontal="right"/>
    </xf>
    <xf numFmtId="3" fontId="44" fillId="0" borderId="14" xfId="0" applyNumberFormat="1" applyFont="1" applyFill="1" applyBorder="1" applyAlignment="1">
      <alignment/>
    </xf>
    <xf numFmtId="0" fontId="5" fillId="0" borderId="26" xfId="0" applyFont="1" applyBorder="1" applyAlignment="1">
      <alignment/>
    </xf>
    <xf numFmtId="0" fontId="30" fillId="0" borderId="14" xfId="0" applyFont="1" applyFill="1" applyBorder="1" applyAlignment="1">
      <alignment wrapText="1"/>
    </xf>
    <xf numFmtId="0" fontId="0" fillId="0" borderId="14" xfId="0" applyFill="1" applyBorder="1" applyAlignment="1">
      <alignment/>
    </xf>
    <xf numFmtId="3" fontId="9" fillId="0" borderId="14"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9" fillId="0" borderId="35" xfId="0" applyNumberFormat="1" applyFont="1" applyFill="1" applyBorder="1" applyAlignment="1">
      <alignment wrapText="1"/>
    </xf>
    <xf numFmtId="0" fontId="30" fillId="0" borderId="10" xfId="0" applyFont="1" applyFill="1" applyBorder="1" applyAlignment="1">
      <alignment horizontal="center" vertical="center"/>
    </xf>
    <xf numFmtId="0" fontId="30" fillId="0" borderId="13"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3" fontId="9" fillId="0" borderId="13" xfId="0" applyNumberFormat="1" applyFont="1" applyFill="1" applyBorder="1" applyAlignment="1" applyProtection="1">
      <alignment horizontal="center" vertical="center" wrapText="1"/>
      <protection/>
    </xf>
    <xf numFmtId="0" fontId="9" fillId="0" borderId="43" xfId="53" applyFont="1" applyFill="1" applyBorder="1" applyAlignment="1">
      <alignment horizontal="center" vertical="center" wrapText="1"/>
      <protection/>
    </xf>
    <xf numFmtId="0" fontId="10" fillId="0" borderId="44" xfId="50" applyFont="1" applyFill="1" applyBorder="1" applyAlignment="1" applyProtection="1">
      <alignment horizontal="center" vertical="center" wrapText="1"/>
      <protection/>
    </xf>
    <xf numFmtId="3" fontId="10" fillId="0" borderId="10" xfId="0" applyNumberFormat="1" applyFont="1" applyFill="1" applyBorder="1" applyAlignment="1">
      <alignment horizontal="right"/>
    </xf>
    <xf numFmtId="3" fontId="10" fillId="0" borderId="13" xfId="0" applyNumberFormat="1" applyFont="1" applyFill="1" applyBorder="1" applyAlignment="1">
      <alignment wrapText="1"/>
    </xf>
    <xf numFmtId="3" fontId="10" fillId="0" borderId="13" xfId="0" applyNumberFormat="1" applyFont="1" applyFill="1" applyBorder="1" applyAlignment="1">
      <alignment/>
    </xf>
    <xf numFmtId="3" fontId="10" fillId="0" borderId="20" xfId="0" applyNumberFormat="1" applyFont="1" applyFill="1" applyBorder="1" applyAlignment="1">
      <alignment/>
    </xf>
    <xf numFmtId="3" fontId="10" fillId="0" borderId="44" xfId="0" applyNumberFormat="1" applyFont="1" applyFill="1" applyBorder="1" applyAlignment="1">
      <alignment/>
    </xf>
    <xf numFmtId="3" fontId="9" fillId="0" borderId="12" xfId="0" applyNumberFormat="1" applyFont="1" applyFill="1" applyBorder="1" applyAlignment="1">
      <alignment horizontal="left"/>
    </xf>
    <xf numFmtId="3" fontId="9" fillId="0" borderId="18" xfId="0" applyNumberFormat="1" applyFont="1" applyFill="1" applyBorder="1" applyAlignment="1">
      <alignment wrapText="1"/>
    </xf>
    <xf numFmtId="3" fontId="9" fillId="0" borderId="18" xfId="0" applyNumberFormat="1" applyFont="1" applyFill="1" applyBorder="1" applyAlignment="1">
      <alignment/>
    </xf>
    <xf numFmtId="3" fontId="10" fillId="0" borderId="45" xfId="0" applyNumberFormat="1" applyFont="1" applyFill="1" applyBorder="1" applyAlignment="1">
      <alignment/>
    </xf>
    <xf numFmtId="3" fontId="9" fillId="0" borderId="37" xfId="0" applyNumberFormat="1" applyFont="1" applyFill="1" applyBorder="1" applyAlignment="1">
      <alignment horizontal="right"/>
    </xf>
    <xf numFmtId="3" fontId="9" fillId="0" borderId="46" xfId="0" applyNumberFormat="1" applyFont="1" applyFill="1" applyBorder="1" applyAlignment="1">
      <alignment/>
    </xf>
    <xf numFmtId="3" fontId="9" fillId="0" borderId="37" xfId="0" applyNumberFormat="1" applyFont="1" applyFill="1" applyBorder="1" applyAlignment="1">
      <alignment horizontal="left"/>
    </xf>
    <xf numFmtId="3" fontId="9" fillId="0" borderId="35" xfId="0" applyNumberFormat="1" applyFont="1" applyFill="1" applyBorder="1" applyAlignment="1">
      <alignment/>
    </xf>
    <xf numFmtId="3" fontId="9" fillId="25" borderId="35" xfId="0" applyNumberFormat="1" applyFont="1" applyFill="1" applyBorder="1" applyAlignment="1">
      <alignment/>
    </xf>
    <xf numFmtId="3" fontId="9" fillId="0" borderId="47" xfId="0" applyNumberFormat="1" applyFont="1" applyFill="1" applyBorder="1" applyAlignment="1">
      <alignment/>
    </xf>
    <xf numFmtId="3" fontId="2" fillId="0" borderId="14" xfId="0" applyNumberFormat="1" applyFont="1" applyFill="1" applyBorder="1" applyAlignment="1">
      <alignment/>
    </xf>
    <xf numFmtId="3" fontId="9" fillId="0" borderId="48" xfId="0" applyNumberFormat="1" applyFont="1" applyFill="1" applyBorder="1" applyAlignment="1">
      <alignment/>
    </xf>
    <xf numFmtId="0" fontId="9" fillId="0" borderId="15" xfId="0" applyFont="1" applyFill="1" applyBorder="1" applyAlignment="1">
      <alignment horizontal="left"/>
    </xf>
    <xf numFmtId="0" fontId="9" fillId="0" borderId="16" xfId="0" applyFont="1" applyFill="1" applyBorder="1" applyAlignment="1">
      <alignment wrapText="1"/>
    </xf>
    <xf numFmtId="3" fontId="9" fillId="0" borderId="42" xfId="0" applyNumberFormat="1" applyFont="1" applyFill="1" applyBorder="1" applyAlignment="1">
      <alignment/>
    </xf>
    <xf numFmtId="3" fontId="9" fillId="25" borderId="42" xfId="0" applyNumberFormat="1" applyFont="1" applyFill="1" applyBorder="1" applyAlignment="1">
      <alignment/>
    </xf>
    <xf numFmtId="3" fontId="9" fillId="0" borderId="49" xfId="0" applyNumberFormat="1" applyFont="1" applyFill="1" applyBorder="1" applyAlignment="1">
      <alignment/>
    </xf>
    <xf numFmtId="3" fontId="2" fillId="0" borderId="16" xfId="0" applyNumberFormat="1" applyFont="1" applyFill="1" applyBorder="1" applyAlignment="1">
      <alignment/>
    </xf>
    <xf numFmtId="3" fontId="9" fillId="0" borderId="16" xfId="0" applyNumberFormat="1" applyFont="1" applyFill="1" applyBorder="1" applyAlignment="1">
      <alignment/>
    </xf>
    <xf numFmtId="3" fontId="9" fillId="0" borderId="15" xfId="0" applyNumberFormat="1" applyFont="1" applyFill="1" applyBorder="1" applyAlignment="1">
      <alignment horizontal="left"/>
    </xf>
    <xf numFmtId="3" fontId="9" fillId="0" borderId="16" xfId="0" applyNumberFormat="1" applyFont="1" applyFill="1" applyBorder="1" applyAlignment="1">
      <alignment wrapText="1"/>
    </xf>
    <xf numFmtId="3" fontId="9" fillId="25" borderId="16" xfId="0" applyNumberFormat="1" applyFont="1" applyFill="1" applyBorder="1" applyAlignment="1">
      <alignment/>
    </xf>
    <xf numFmtId="3" fontId="9" fillId="0" borderId="19" xfId="0" applyNumberFormat="1" applyFont="1" applyFill="1" applyBorder="1" applyAlignment="1">
      <alignment/>
    </xf>
    <xf numFmtId="3" fontId="10" fillId="0" borderId="50" xfId="0" applyNumberFormat="1" applyFont="1" applyFill="1" applyBorder="1" applyAlignment="1">
      <alignment/>
    </xf>
    <xf numFmtId="0" fontId="9" fillId="0" borderId="12" xfId="0" applyFont="1" applyBorder="1" applyAlignment="1">
      <alignment horizontal="left"/>
    </xf>
    <xf numFmtId="0" fontId="10" fillId="0" borderId="26" xfId="0" applyFont="1" applyBorder="1" applyAlignment="1">
      <alignment wrapText="1"/>
    </xf>
    <xf numFmtId="3" fontId="9" fillId="25" borderId="26" xfId="0" applyNumberFormat="1" applyFont="1" applyFill="1" applyBorder="1" applyAlignment="1">
      <alignment/>
    </xf>
    <xf numFmtId="3" fontId="10" fillId="0" borderId="45" xfId="0" applyNumberFormat="1" applyFont="1" applyBorder="1" applyAlignment="1">
      <alignment/>
    </xf>
    <xf numFmtId="3" fontId="9" fillId="0" borderId="51" xfId="0" applyNumberFormat="1" applyFont="1" applyFill="1" applyBorder="1" applyAlignment="1">
      <alignment/>
    </xf>
    <xf numFmtId="3" fontId="9" fillId="0" borderId="33" xfId="0" applyNumberFormat="1" applyFont="1" applyFill="1" applyBorder="1" applyAlignment="1">
      <alignment/>
    </xf>
    <xf numFmtId="3" fontId="10" fillId="0" borderId="38" xfId="0" applyNumberFormat="1" applyFont="1" applyFill="1" applyBorder="1" applyAlignment="1">
      <alignment horizontal="left"/>
    </xf>
    <xf numFmtId="3" fontId="10" fillId="0" borderId="0" xfId="0" applyNumberFormat="1" applyFont="1" applyFill="1" applyBorder="1" applyAlignment="1">
      <alignment wrapText="1"/>
    </xf>
    <xf numFmtId="3" fontId="9" fillId="0" borderId="32" xfId="0" applyNumberFormat="1" applyFont="1" applyFill="1" applyBorder="1" applyAlignment="1">
      <alignment/>
    </xf>
    <xf numFmtId="3" fontId="9" fillId="0" borderId="25" xfId="0" applyNumberFormat="1" applyFont="1" applyFill="1" applyBorder="1" applyAlignment="1">
      <alignment/>
    </xf>
    <xf numFmtId="3" fontId="10" fillId="0" borderId="10" xfId="0" applyNumberFormat="1" applyFont="1" applyFill="1" applyBorder="1" applyAlignment="1">
      <alignment horizontal="left"/>
    </xf>
    <xf numFmtId="3" fontId="9" fillId="0" borderId="52" xfId="0" applyNumberFormat="1" applyFont="1" applyFill="1" applyBorder="1" applyAlignment="1">
      <alignment horizontal="left"/>
    </xf>
    <xf numFmtId="3" fontId="9" fillId="0" borderId="26" xfId="0" applyNumberFormat="1" applyFont="1" applyFill="1" applyBorder="1" applyAlignment="1">
      <alignment wrapText="1"/>
    </xf>
    <xf numFmtId="3" fontId="9" fillId="0" borderId="53" xfId="0" applyNumberFormat="1" applyFont="1" applyFill="1" applyBorder="1" applyAlignment="1">
      <alignment/>
    </xf>
    <xf numFmtId="3" fontId="9" fillId="24" borderId="30" xfId="0" applyNumberFormat="1" applyFont="1" applyFill="1" applyBorder="1" applyAlignment="1">
      <alignment/>
    </xf>
    <xf numFmtId="3" fontId="9" fillId="0" borderId="28" xfId="0" applyNumberFormat="1" applyFont="1" applyFill="1" applyBorder="1" applyAlignment="1">
      <alignment/>
    </xf>
    <xf numFmtId="3" fontId="10" fillId="0" borderId="12" xfId="0" applyNumberFormat="1" applyFont="1" applyFill="1" applyBorder="1" applyAlignment="1">
      <alignment horizontal="left"/>
    </xf>
    <xf numFmtId="3" fontId="10" fillId="0" borderId="18" xfId="0" applyNumberFormat="1" applyFont="1" applyFill="1" applyBorder="1" applyAlignment="1">
      <alignment/>
    </xf>
    <xf numFmtId="3" fontId="10" fillId="0" borderId="37" xfId="0" applyNumberFormat="1" applyFont="1" applyFill="1" applyBorder="1" applyAlignment="1">
      <alignment horizontal="left"/>
    </xf>
    <xf numFmtId="3" fontId="10" fillId="0" borderId="14" xfId="0" applyNumberFormat="1" applyFont="1" applyFill="1" applyBorder="1" applyAlignment="1">
      <alignment wrapText="1"/>
    </xf>
    <xf numFmtId="3" fontId="10" fillId="0" borderId="47" xfId="0" applyNumberFormat="1" applyFont="1" applyFill="1" applyBorder="1" applyAlignment="1">
      <alignment/>
    </xf>
    <xf numFmtId="3" fontId="10" fillId="0" borderId="35" xfId="0" applyNumberFormat="1" applyFont="1" applyFill="1" applyBorder="1" applyAlignment="1">
      <alignment/>
    </xf>
    <xf numFmtId="3" fontId="10" fillId="0" borderId="46" xfId="0" applyNumberFormat="1" applyFont="1" applyFill="1" applyBorder="1" applyAlignment="1">
      <alignment/>
    </xf>
    <xf numFmtId="3" fontId="9" fillId="0" borderId="54" xfId="0" applyNumberFormat="1" applyFont="1" applyFill="1" applyBorder="1" applyAlignment="1">
      <alignment/>
    </xf>
    <xf numFmtId="3" fontId="2" fillId="0" borderId="35" xfId="0" applyNumberFormat="1" applyFont="1" applyFill="1" applyBorder="1" applyAlignment="1">
      <alignment/>
    </xf>
    <xf numFmtId="3" fontId="2" fillId="0" borderId="32" xfId="0" applyNumberFormat="1" applyFont="1" applyFill="1" applyBorder="1" applyAlignment="1">
      <alignment/>
    </xf>
    <xf numFmtId="3" fontId="9" fillId="0" borderId="55" xfId="0" applyNumberFormat="1" applyFont="1" applyFill="1" applyBorder="1" applyAlignment="1">
      <alignment/>
    </xf>
    <xf numFmtId="3" fontId="9" fillId="0" borderId="10" xfId="0" applyNumberFormat="1" applyFont="1" applyFill="1" applyBorder="1" applyAlignment="1">
      <alignment horizontal="right"/>
    </xf>
    <xf numFmtId="3" fontId="10" fillId="0" borderId="13" xfId="0" applyNumberFormat="1" applyFont="1" applyFill="1" applyBorder="1" applyAlignment="1">
      <alignment horizontal="right" wrapText="1"/>
    </xf>
    <xf numFmtId="3" fontId="10" fillId="0" borderId="13" xfId="0" applyNumberFormat="1" applyFont="1" applyFill="1" applyBorder="1" applyAlignment="1">
      <alignment horizontal="center"/>
    </xf>
    <xf numFmtId="3" fontId="10" fillId="0" borderId="20" xfId="0" applyNumberFormat="1" applyFont="1" applyFill="1" applyBorder="1" applyAlignment="1">
      <alignment horizontal="center"/>
    </xf>
    <xf numFmtId="3" fontId="9" fillId="0" borderId="18" xfId="0" applyNumberFormat="1" applyFont="1" applyFill="1" applyBorder="1" applyAlignment="1" applyProtection="1">
      <alignment/>
      <protection/>
    </xf>
    <xf numFmtId="3" fontId="9" fillId="0" borderId="18" xfId="0" applyNumberFormat="1" applyFont="1" applyFill="1" applyBorder="1" applyAlignment="1" applyProtection="1">
      <alignment horizontal="left" wrapText="1"/>
      <protection/>
    </xf>
    <xf numFmtId="3" fontId="10" fillId="0" borderId="14" xfId="0" applyNumberFormat="1" applyFont="1" applyFill="1" applyBorder="1" applyAlignment="1" applyProtection="1">
      <alignment/>
      <protection/>
    </xf>
    <xf numFmtId="3" fontId="10" fillId="0" borderId="14" xfId="0" applyNumberFormat="1" applyFont="1" applyFill="1" applyBorder="1" applyAlignment="1" applyProtection="1">
      <alignment horizontal="left" wrapText="1"/>
      <protection/>
    </xf>
    <xf numFmtId="3" fontId="10" fillId="0" borderId="14" xfId="0" applyNumberFormat="1" applyFont="1" applyFill="1" applyBorder="1" applyAlignment="1" applyProtection="1">
      <alignment horizontal="center"/>
      <protection/>
    </xf>
    <xf numFmtId="3" fontId="10" fillId="0" borderId="46" xfId="0" applyNumberFormat="1" applyFont="1" applyFill="1" applyBorder="1" applyAlignment="1" applyProtection="1">
      <alignment/>
      <protection/>
    </xf>
    <xf numFmtId="3" fontId="9" fillId="0" borderId="14" xfId="0" applyNumberFormat="1" applyFont="1" applyFill="1" applyBorder="1" applyAlignment="1" applyProtection="1">
      <alignment horizontal="left" wrapText="1"/>
      <protection/>
    </xf>
    <xf numFmtId="3" fontId="9" fillId="0" borderId="14" xfId="0" applyNumberFormat="1" applyFont="1" applyFill="1" applyBorder="1" applyAlignment="1" applyProtection="1">
      <alignment horizontal="center"/>
      <protection/>
    </xf>
    <xf numFmtId="3" fontId="9" fillId="25" borderId="14" xfId="0" applyNumberFormat="1" applyFont="1" applyFill="1" applyBorder="1" applyAlignment="1" applyProtection="1">
      <alignment horizontal="center"/>
      <protection/>
    </xf>
    <xf numFmtId="3" fontId="30" fillId="0" borderId="10" xfId="0" applyNumberFormat="1" applyFont="1" applyFill="1" applyBorder="1" applyAlignment="1">
      <alignment horizontal="center" vertical="center"/>
    </xf>
    <xf numFmtId="3" fontId="30" fillId="0" borderId="13" xfId="0" applyNumberFormat="1" applyFont="1" applyFill="1" applyBorder="1" applyAlignment="1" applyProtection="1">
      <alignment horizontal="center" vertical="center" wrapText="1"/>
      <protection/>
    </xf>
    <xf numFmtId="3" fontId="9" fillId="0" borderId="43" xfId="53" applyNumberFormat="1" applyFont="1" applyFill="1" applyBorder="1" applyAlignment="1">
      <alignment horizontal="center" vertical="center" wrapText="1"/>
      <protection/>
    </xf>
    <xf numFmtId="3" fontId="9" fillId="0" borderId="13" xfId="54" applyNumberFormat="1" applyFont="1" applyFill="1" applyBorder="1" applyAlignment="1">
      <alignment vertical="center" wrapText="1"/>
      <protection/>
    </xf>
    <xf numFmtId="3" fontId="9" fillId="0" borderId="20" xfId="54" applyNumberFormat="1" applyFont="1" applyFill="1" applyBorder="1" applyAlignment="1">
      <alignment vertical="center" wrapText="1"/>
      <protection/>
    </xf>
    <xf numFmtId="3" fontId="10" fillId="0" borderId="44" xfId="50" applyNumberFormat="1" applyFont="1" applyFill="1" applyBorder="1" applyAlignment="1" applyProtection="1">
      <alignment horizontal="center" vertical="center" wrapText="1"/>
      <protection/>
    </xf>
    <xf numFmtId="3" fontId="10" fillId="0" borderId="10" xfId="0" applyNumberFormat="1" applyFont="1" applyFill="1" applyBorder="1" applyAlignment="1">
      <alignment/>
    </xf>
    <xf numFmtId="3" fontId="10" fillId="0" borderId="12" xfId="0" applyNumberFormat="1" applyFont="1" applyFill="1" applyBorder="1" applyAlignment="1">
      <alignment horizontal="right"/>
    </xf>
    <xf numFmtId="3" fontId="10" fillId="0" borderId="18" xfId="0" applyNumberFormat="1" applyFont="1" applyFill="1" applyBorder="1" applyAlignment="1">
      <alignment wrapText="1"/>
    </xf>
    <xf numFmtId="3" fontId="10" fillId="0" borderId="41" xfId="0" applyNumberFormat="1" applyFont="1" applyFill="1" applyBorder="1" applyAlignment="1">
      <alignment/>
    </xf>
    <xf numFmtId="3" fontId="10" fillId="0" borderId="40" xfId="0" applyNumberFormat="1" applyFont="1" applyFill="1" applyBorder="1" applyAlignment="1">
      <alignment/>
    </xf>
    <xf numFmtId="3" fontId="10" fillId="0" borderId="33" xfId="0" applyNumberFormat="1" applyFont="1" applyFill="1" applyBorder="1" applyAlignment="1">
      <alignment/>
    </xf>
    <xf numFmtId="3" fontId="10" fillId="0" borderId="56" xfId="0" applyNumberFormat="1" applyFont="1" applyFill="1" applyBorder="1" applyAlignment="1">
      <alignment/>
    </xf>
    <xf numFmtId="49" fontId="10" fillId="0" borderId="12" xfId="0" applyNumberFormat="1" applyFont="1" applyFill="1" applyBorder="1" applyAlignment="1">
      <alignment horizontal="right"/>
    </xf>
    <xf numFmtId="3" fontId="10" fillId="0" borderId="37" xfId="0" applyNumberFormat="1" applyFont="1" applyFill="1" applyBorder="1" applyAlignment="1">
      <alignment horizontal="right"/>
    </xf>
    <xf numFmtId="3" fontId="10" fillId="0" borderId="57" xfId="0" applyNumberFormat="1" applyFont="1" applyFill="1" applyBorder="1" applyAlignment="1">
      <alignment/>
    </xf>
    <xf numFmtId="3" fontId="10" fillId="0" borderId="14" xfId="0" applyNumberFormat="1" applyFont="1" applyFill="1" applyBorder="1" applyAlignment="1">
      <alignment horizontal="left" wrapText="1"/>
    </xf>
    <xf numFmtId="3" fontId="9" fillId="0" borderId="37" xfId="0" applyNumberFormat="1" applyFont="1" applyFill="1" applyBorder="1" applyAlignment="1">
      <alignment horizontal="right" wrapText="1"/>
    </xf>
    <xf numFmtId="3" fontId="9" fillId="25" borderId="46" xfId="0" applyNumberFormat="1" applyFont="1" applyFill="1" applyBorder="1" applyAlignment="1">
      <alignment/>
    </xf>
    <xf numFmtId="3" fontId="10" fillId="0" borderId="15" xfId="0" applyNumberFormat="1" applyFont="1" applyFill="1" applyBorder="1" applyAlignment="1">
      <alignment horizontal="right"/>
    </xf>
    <xf numFmtId="3" fontId="10" fillId="0" borderId="16" xfId="0" applyNumberFormat="1" applyFont="1" applyFill="1" applyBorder="1" applyAlignment="1">
      <alignment wrapText="1"/>
    </xf>
    <xf numFmtId="3" fontId="10" fillId="0" borderId="19" xfId="0" applyNumberFormat="1" applyFont="1" applyFill="1" applyBorder="1" applyAlignment="1">
      <alignment/>
    </xf>
    <xf numFmtId="3" fontId="10" fillId="25" borderId="19" xfId="0" applyNumberFormat="1" applyFont="1" applyFill="1" applyBorder="1" applyAlignment="1">
      <alignment/>
    </xf>
    <xf numFmtId="3" fontId="10" fillId="0" borderId="16" xfId="0" applyNumberFormat="1" applyFont="1" applyFill="1" applyBorder="1" applyAlignment="1">
      <alignment/>
    </xf>
    <xf numFmtId="3" fontId="10" fillId="0" borderId="30" xfId="0" applyNumberFormat="1" applyFont="1" applyFill="1" applyBorder="1" applyAlignment="1">
      <alignment/>
    </xf>
    <xf numFmtId="3" fontId="10" fillId="0" borderId="58" xfId="0" applyNumberFormat="1" applyFont="1" applyFill="1" applyBorder="1" applyAlignment="1">
      <alignment/>
    </xf>
    <xf numFmtId="3" fontId="9" fillId="25" borderId="41" xfId="0" applyNumberFormat="1" applyFont="1" applyFill="1" applyBorder="1" applyAlignment="1">
      <alignment/>
    </xf>
    <xf numFmtId="3" fontId="10" fillId="0" borderId="32" xfId="0" applyNumberFormat="1" applyFont="1" applyFill="1" applyBorder="1" applyAlignment="1">
      <alignment wrapText="1"/>
    </xf>
    <xf numFmtId="3" fontId="10" fillId="0" borderId="54" xfId="0" applyNumberFormat="1" applyFont="1" applyFill="1" applyBorder="1" applyAlignment="1">
      <alignment/>
    </xf>
    <xf numFmtId="3" fontId="9" fillId="0" borderId="16" xfId="51" applyNumberFormat="1" applyFont="1" applyFill="1" applyBorder="1" applyAlignment="1">
      <alignment horizontal="left" wrapText="1"/>
      <protection/>
    </xf>
    <xf numFmtId="3" fontId="9" fillId="25" borderId="25" xfId="0" applyNumberFormat="1" applyFont="1" applyFill="1" applyBorder="1" applyAlignment="1">
      <alignment/>
    </xf>
    <xf numFmtId="3" fontId="10" fillId="0" borderId="32" xfId="57" applyNumberFormat="1" applyFont="1" applyBorder="1" applyAlignment="1">
      <alignment wrapText="1"/>
      <protection/>
    </xf>
    <xf numFmtId="3" fontId="10" fillId="0" borderId="25" xfId="0" applyNumberFormat="1" applyFont="1" applyFill="1" applyBorder="1" applyAlignment="1">
      <alignment/>
    </xf>
    <xf numFmtId="3" fontId="9" fillId="0" borderId="12" xfId="0" applyNumberFormat="1" applyFont="1" applyFill="1" applyBorder="1" applyAlignment="1">
      <alignment horizontal="right"/>
    </xf>
    <xf numFmtId="3" fontId="9" fillId="0" borderId="50" xfId="0" applyNumberFormat="1" applyFont="1" applyFill="1" applyBorder="1" applyAlignment="1">
      <alignment/>
    </xf>
    <xf numFmtId="3" fontId="9" fillId="0" borderId="57" xfId="0" applyNumberFormat="1" applyFont="1" applyFill="1" applyBorder="1" applyAlignment="1">
      <alignment/>
    </xf>
    <xf numFmtId="3" fontId="9" fillId="0" borderId="14" xfId="0" applyNumberFormat="1" applyFont="1" applyFill="1" applyBorder="1" applyAlignment="1">
      <alignment horizontal="left"/>
    </xf>
    <xf numFmtId="3" fontId="9" fillId="0" borderId="14" xfId="51" applyNumberFormat="1" applyFont="1" applyFill="1" applyBorder="1" applyAlignment="1">
      <alignment horizontal="left" vertical="center" wrapText="1"/>
      <protection/>
    </xf>
    <xf numFmtId="3" fontId="9" fillId="0" borderId="14" xfId="51" applyNumberFormat="1" applyFont="1" applyFill="1" applyBorder="1" applyAlignment="1">
      <alignment horizontal="left" wrapText="1"/>
      <protection/>
    </xf>
    <xf numFmtId="49" fontId="9" fillId="0" borderId="37" xfId="0" applyNumberFormat="1" applyFont="1" applyFill="1" applyBorder="1" applyAlignment="1">
      <alignment horizontal="right"/>
    </xf>
    <xf numFmtId="0" fontId="9" fillId="0" borderId="14" xfId="51" applyFont="1" applyFill="1" applyBorder="1" applyAlignment="1">
      <alignment horizontal="center" wrapText="1"/>
      <protection/>
    </xf>
    <xf numFmtId="3" fontId="9" fillId="0" borderId="18" xfId="0" applyNumberFormat="1" applyFont="1" applyFill="1" applyBorder="1" applyAlignment="1">
      <alignment horizontal="left" wrapText="1"/>
    </xf>
    <xf numFmtId="3" fontId="10" fillId="0" borderId="18" xfId="0" applyNumberFormat="1" applyFont="1" applyFill="1" applyBorder="1" applyAlignment="1">
      <alignment horizontal="left" wrapText="1"/>
    </xf>
    <xf numFmtId="3" fontId="10" fillId="0" borderId="38" xfId="57" applyNumberFormat="1" applyFont="1" applyBorder="1" applyAlignment="1">
      <alignment horizontal="right"/>
      <protection/>
    </xf>
    <xf numFmtId="3" fontId="10" fillId="0" borderId="13" xfId="0" applyNumberFormat="1" applyFont="1" applyFill="1" applyBorder="1" applyAlignment="1">
      <alignment horizontal="left" wrapText="1"/>
    </xf>
    <xf numFmtId="3" fontId="10" fillId="0" borderId="59" xfId="0" applyNumberFormat="1" applyFont="1" applyFill="1" applyBorder="1" applyAlignment="1">
      <alignment/>
    </xf>
    <xf numFmtId="3" fontId="9" fillId="0" borderId="15" xfId="0" applyNumberFormat="1" applyFont="1" applyFill="1" applyBorder="1" applyAlignment="1">
      <alignment horizontal="right"/>
    </xf>
    <xf numFmtId="3" fontId="9" fillId="0" borderId="18" xfId="51" applyNumberFormat="1" applyFont="1" applyFill="1" applyBorder="1" applyAlignment="1">
      <alignment horizontal="left" wrapText="1"/>
      <protection/>
    </xf>
    <xf numFmtId="3" fontId="10" fillId="25" borderId="41" xfId="0" applyNumberFormat="1" applyFont="1" applyFill="1" applyBorder="1" applyAlignment="1">
      <alignment/>
    </xf>
    <xf numFmtId="3" fontId="9" fillId="0" borderId="38" xfId="0" applyNumberFormat="1" applyFont="1" applyFill="1" applyBorder="1" applyAlignment="1">
      <alignment horizontal="right"/>
    </xf>
    <xf numFmtId="3" fontId="9" fillId="0" borderId="35" xfId="0" applyNumberFormat="1" applyFont="1" applyFill="1" applyBorder="1" applyAlignment="1">
      <alignment horizontal="left" wrapText="1"/>
    </xf>
    <xf numFmtId="3" fontId="9" fillId="25" borderId="14" xfId="57" applyNumberFormat="1" applyFont="1" applyFill="1" applyBorder="1" applyAlignment="1">
      <alignment horizontal="left" wrapText="1"/>
      <protection/>
    </xf>
    <xf numFmtId="0" fontId="51" fillId="0" borderId="60" xfId="57" applyFont="1" applyBorder="1" applyAlignment="1">
      <alignment horizontal="left" wrapText="1"/>
      <protection/>
    </xf>
    <xf numFmtId="3" fontId="9" fillId="0" borderId="61" xfId="0" applyNumberFormat="1" applyFont="1" applyFill="1" applyBorder="1" applyAlignment="1">
      <alignment/>
    </xf>
    <xf numFmtId="3" fontId="9" fillId="0" borderId="16" xfId="0" applyNumberFormat="1" applyFont="1" applyBorder="1" applyAlignment="1">
      <alignment horizontal="left" wrapText="1"/>
    </xf>
    <xf numFmtId="3" fontId="10" fillId="0" borderId="16" xfId="0" applyNumberFormat="1" applyFont="1" applyBorder="1" applyAlignment="1">
      <alignment horizontal="left" wrapText="1"/>
    </xf>
    <xf numFmtId="3" fontId="10" fillId="25" borderId="46" xfId="0" applyNumberFormat="1" applyFont="1" applyFill="1" applyBorder="1" applyAlignment="1">
      <alignment/>
    </xf>
    <xf numFmtId="3" fontId="10" fillId="0" borderId="0" xfId="0" applyNumberFormat="1" applyFont="1" applyBorder="1" applyAlignment="1">
      <alignment wrapText="1"/>
    </xf>
    <xf numFmtId="3" fontId="10" fillId="0" borderId="32" xfId="0" applyNumberFormat="1" applyFont="1" applyFill="1" applyBorder="1" applyAlignment="1">
      <alignment/>
    </xf>
    <xf numFmtId="3" fontId="10" fillId="0" borderId="62" xfId="0" applyNumberFormat="1" applyFont="1" applyFill="1" applyBorder="1" applyAlignment="1">
      <alignment horizontal="left"/>
    </xf>
    <xf numFmtId="3" fontId="10" fillId="0" borderId="29" xfId="0" applyNumberFormat="1" applyFont="1" applyFill="1" applyBorder="1" applyAlignment="1">
      <alignment horizontal="right"/>
    </xf>
    <xf numFmtId="3" fontId="10" fillId="0" borderId="60" xfId="0" applyNumberFormat="1" applyFont="1" applyFill="1" applyBorder="1" applyAlignment="1">
      <alignment wrapText="1"/>
    </xf>
    <xf numFmtId="3" fontId="10" fillId="0" borderId="63" xfId="0" applyNumberFormat="1" applyFont="1" applyFill="1" applyBorder="1" applyAlignment="1">
      <alignment/>
    </xf>
    <xf numFmtId="3" fontId="10" fillId="0" borderId="64" xfId="0" applyNumberFormat="1" applyFont="1" applyFill="1" applyBorder="1" applyAlignment="1">
      <alignment/>
    </xf>
    <xf numFmtId="3" fontId="10" fillId="0" borderId="22" xfId="0" applyNumberFormat="1" applyFont="1" applyFill="1" applyBorder="1" applyAlignment="1">
      <alignment/>
    </xf>
    <xf numFmtId="3" fontId="9" fillId="0" borderId="12" xfId="57" applyNumberFormat="1" applyFont="1" applyBorder="1" applyAlignment="1">
      <alignment horizontal="right"/>
      <protection/>
    </xf>
    <xf numFmtId="3" fontId="9" fillId="0" borderId="14" xfId="51" applyNumberFormat="1" applyFont="1" applyBorder="1" applyAlignment="1">
      <alignment horizontal="left" wrapText="1"/>
      <protection/>
    </xf>
    <xf numFmtId="3" fontId="30" fillId="0" borderId="14" xfId="51" applyNumberFormat="1" applyFont="1" applyBorder="1" applyAlignment="1">
      <alignment horizontal="left" wrapText="1"/>
      <protection/>
    </xf>
    <xf numFmtId="3" fontId="30" fillId="0" borderId="32" xfId="51" applyNumberFormat="1" applyFont="1" applyBorder="1" applyAlignment="1">
      <alignment horizontal="left" wrapText="1"/>
      <protection/>
    </xf>
    <xf numFmtId="3" fontId="30" fillId="0" borderId="16" xfId="51" applyNumberFormat="1" applyFont="1" applyBorder="1" applyAlignment="1">
      <alignment horizontal="left" wrapText="1"/>
      <protection/>
    </xf>
    <xf numFmtId="3" fontId="9" fillId="0" borderId="14" xfId="0" applyNumberFormat="1" applyFont="1" applyFill="1" applyBorder="1" applyAlignment="1">
      <alignment horizontal="left" wrapText="1"/>
    </xf>
    <xf numFmtId="3" fontId="9" fillId="0" borderId="14" xfId="52" applyNumberFormat="1" applyFont="1" applyFill="1" applyBorder="1" applyAlignment="1">
      <alignment horizontal="left" wrapText="1"/>
      <protection/>
    </xf>
    <xf numFmtId="3" fontId="9" fillId="0" borderId="14" xfId="52" applyNumberFormat="1" applyFont="1" applyBorder="1" applyAlignment="1">
      <alignment horizontal="left" wrapText="1"/>
      <protection/>
    </xf>
    <xf numFmtId="3" fontId="10" fillId="0" borderId="26" xfId="0" applyNumberFormat="1" applyFont="1" applyFill="1" applyBorder="1" applyAlignment="1">
      <alignment wrapText="1"/>
    </xf>
    <xf numFmtId="3" fontId="10" fillId="0" borderId="34" xfId="0" applyNumberFormat="1" applyFont="1" applyFill="1" applyBorder="1" applyAlignment="1">
      <alignment/>
    </xf>
    <xf numFmtId="3" fontId="10" fillId="0" borderId="51" xfId="0" applyNumberFormat="1" applyFont="1" applyFill="1" applyBorder="1" applyAlignment="1">
      <alignment/>
    </xf>
    <xf numFmtId="3" fontId="9" fillId="0" borderId="10" xfId="0" applyNumberFormat="1" applyFont="1" applyFill="1" applyBorder="1" applyAlignment="1">
      <alignment/>
    </xf>
    <xf numFmtId="3" fontId="10" fillId="0" borderId="0" xfId="0" applyNumberFormat="1" applyFont="1" applyFill="1" applyBorder="1" applyAlignment="1" applyProtection="1">
      <alignment/>
      <protection/>
    </xf>
    <xf numFmtId="3" fontId="10" fillId="0" borderId="0" xfId="0" applyNumberFormat="1" applyFont="1" applyFill="1" applyAlignment="1">
      <alignment/>
    </xf>
    <xf numFmtId="3" fontId="10" fillId="0" borderId="0" xfId="0" applyNumberFormat="1" applyFont="1" applyFill="1" applyBorder="1" applyAlignment="1">
      <alignment/>
    </xf>
    <xf numFmtId="3" fontId="10" fillId="0" borderId="0" xfId="0" applyNumberFormat="1" applyFont="1" applyFill="1" applyBorder="1" applyAlignment="1">
      <alignment horizontal="left" wrapText="1"/>
    </xf>
    <xf numFmtId="3" fontId="9" fillId="0" borderId="0" xfId="0" applyNumberFormat="1" applyFont="1" applyFill="1" applyBorder="1" applyAlignment="1">
      <alignment/>
    </xf>
    <xf numFmtId="3" fontId="9" fillId="0" borderId="0" xfId="0" applyNumberFormat="1" applyFont="1" applyFill="1" applyBorder="1" applyAlignment="1" applyProtection="1">
      <alignment/>
      <protection/>
    </xf>
    <xf numFmtId="3" fontId="9" fillId="0" borderId="0" xfId="0" applyNumberFormat="1" applyFont="1" applyFill="1" applyBorder="1" applyAlignment="1">
      <alignment wrapText="1"/>
    </xf>
    <xf numFmtId="3" fontId="9" fillId="0" borderId="0" xfId="50" applyNumberFormat="1" applyFont="1" applyFill="1" applyBorder="1" applyAlignment="1">
      <alignment horizontal="left" wrapText="1"/>
      <protection/>
    </xf>
    <xf numFmtId="3" fontId="34" fillId="0" borderId="0" xfId="0" applyNumberFormat="1" applyFont="1" applyFill="1" applyBorder="1" applyAlignment="1">
      <alignment horizontal="right" wrapText="1"/>
    </xf>
    <xf numFmtId="3" fontId="39" fillId="0" borderId="0" xfId="0" applyNumberFormat="1" applyFont="1" applyFill="1" applyBorder="1" applyAlignment="1">
      <alignment/>
    </xf>
    <xf numFmtId="3" fontId="9" fillId="0" borderId="0" xfId="0" applyNumberFormat="1" applyFont="1" applyFill="1" applyAlignment="1">
      <alignment wrapText="1"/>
    </xf>
    <xf numFmtId="3" fontId="39" fillId="0" borderId="0" xfId="0" applyNumberFormat="1" applyFont="1" applyFill="1" applyAlignment="1">
      <alignment/>
    </xf>
    <xf numFmtId="1" fontId="9" fillId="0" borderId="0" xfId="0" applyNumberFormat="1" applyFont="1" applyFill="1" applyAlignment="1">
      <alignment/>
    </xf>
    <xf numFmtId="0" fontId="9" fillId="0" borderId="0" xfId="55" applyFont="1" applyFill="1" applyAlignment="1">
      <alignment horizontal="left"/>
      <protection/>
    </xf>
    <xf numFmtId="0" fontId="10"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horizontal="left" wrapText="1"/>
    </xf>
    <xf numFmtId="0" fontId="9" fillId="0" borderId="0" xfId="0" applyFont="1" applyFill="1" applyBorder="1" applyAlignment="1">
      <alignment/>
    </xf>
    <xf numFmtId="3" fontId="9" fillId="0" borderId="0" xfId="0" applyNumberFormat="1" applyFont="1" applyFill="1" applyBorder="1" applyAlignment="1" applyProtection="1">
      <alignment horizontal="left" wrapText="1"/>
      <protection/>
    </xf>
    <xf numFmtId="3" fontId="10" fillId="0" borderId="0" xfId="0" applyNumberFormat="1" applyFont="1" applyFill="1" applyBorder="1" applyAlignment="1" applyProtection="1">
      <alignment horizontal="center"/>
      <protection/>
    </xf>
    <xf numFmtId="3" fontId="34" fillId="0" borderId="0" xfId="0" applyNumberFormat="1" applyFont="1" applyFill="1" applyAlignment="1">
      <alignment/>
    </xf>
    <xf numFmtId="3" fontId="9" fillId="0" borderId="0" xfId="55" applyNumberFormat="1" applyFont="1" applyFill="1" applyAlignment="1">
      <alignment horizontal="right"/>
      <protection/>
    </xf>
    <xf numFmtId="3" fontId="9" fillId="0" borderId="0" xfId="55" applyNumberFormat="1" applyFont="1" applyFill="1" applyAlignment="1">
      <alignment horizontal="left"/>
      <protection/>
    </xf>
    <xf numFmtId="3" fontId="9" fillId="0" borderId="0" xfId="0" applyNumberFormat="1" applyFont="1" applyFill="1" applyAlignment="1">
      <alignment horizontal="right"/>
    </xf>
    <xf numFmtId="3" fontId="9" fillId="0" borderId="0" xfId="0" applyNumberFormat="1" applyFont="1" applyFill="1" applyAlignment="1">
      <alignment horizontal="left"/>
    </xf>
    <xf numFmtId="3" fontId="10" fillId="0" borderId="0" xfId="0" applyNumberFormat="1" applyFont="1" applyFill="1" applyBorder="1" applyAlignment="1">
      <alignment horizontal="right"/>
    </xf>
    <xf numFmtId="3" fontId="2" fillId="0" borderId="0" xfId="0" applyNumberFormat="1" applyFont="1" applyFill="1" applyBorder="1" applyAlignment="1">
      <alignment/>
    </xf>
    <xf numFmtId="3" fontId="10" fillId="0" borderId="52" xfId="0" applyNumberFormat="1" applyFont="1" applyFill="1" applyBorder="1" applyAlignment="1">
      <alignment horizontal="left"/>
    </xf>
    <xf numFmtId="3" fontId="2" fillId="0" borderId="40" xfId="0" applyNumberFormat="1" applyFont="1" applyFill="1" applyBorder="1" applyAlignment="1">
      <alignment/>
    </xf>
    <xf numFmtId="3" fontId="9" fillId="0" borderId="65" xfId="0" applyNumberFormat="1" applyFont="1" applyFill="1" applyBorder="1" applyAlignment="1">
      <alignment/>
    </xf>
    <xf numFmtId="3" fontId="9" fillId="0" borderId="30" xfId="0" applyNumberFormat="1" applyFont="1" applyFill="1" applyBorder="1" applyAlignment="1">
      <alignment wrapText="1"/>
    </xf>
    <xf numFmtId="3" fontId="10" fillId="0" borderId="20" xfId="0" applyNumberFormat="1" applyFont="1" applyFill="1" applyBorder="1" applyAlignment="1">
      <alignment horizontal="right"/>
    </xf>
    <xf numFmtId="3" fontId="10" fillId="0" borderId="62" xfId="0" applyNumberFormat="1" applyFont="1" applyFill="1" applyBorder="1" applyAlignment="1">
      <alignment/>
    </xf>
    <xf numFmtId="3" fontId="9" fillId="0" borderId="0" xfId="0" applyNumberFormat="1" applyFont="1" applyFill="1" applyBorder="1" applyAlignment="1">
      <alignment horizontal="right" wrapText="1"/>
    </xf>
    <xf numFmtId="0" fontId="9" fillId="0" borderId="0" xfId="0" applyFont="1" applyFill="1" applyAlignment="1">
      <alignment wrapText="1"/>
    </xf>
    <xf numFmtId="3" fontId="9" fillId="0" borderId="14" xfId="0" applyNumberFormat="1" applyFont="1" applyFill="1" applyBorder="1" applyAlignment="1">
      <alignment horizontal="right" wrapText="1"/>
    </xf>
    <xf numFmtId="0" fontId="9" fillId="0" borderId="14" xfId="0" applyFont="1" applyFill="1" applyBorder="1" applyAlignment="1">
      <alignment vertical="center" wrapText="1"/>
    </xf>
    <xf numFmtId="3" fontId="30" fillId="0" borderId="14" xfId="0" applyNumberFormat="1" applyFont="1" applyFill="1" applyBorder="1" applyAlignment="1">
      <alignment/>
    </xf>
    <xf numFmtId="0" fontId="2" fillId="0" borderId="14" xfId="0" applyFont="1" applyBorder="1" applyAlignment="1">
      <alignment/>
    </xf>
    <xf numFmtId="49" fontId="2" fillId="0" borderId="14" xfId="0" applyNumberFormat="1" applyFont="1" applyBorder="1" applyAlignment="1">
      <alignment/>
    </xf>
    <xf numFmtId="49" fontId="2" fillId="0" borderId="14" xfId="0" applyNumberFormat="1" applyFont="1" applyBorder="1" applyAlignment="1">
      <alignment horizontal="right"/>
    </xf>
    <xf numFmtId="0" fontId="34" fillId="0" borderId="14" xfId="0" applyFont="1" applyBorder="1" applyAlignment="1">
      <alignment/>
    </xf>
    <xf numFmtId="3" fontId="30" fillId="0" borderId="14" xfId="0" applyNumberFormat="1" applyFont="1" applyBorder="1" applyAlignment="1">
      <alignment/>
    </xf>
    <xf numFmtId="3" fontId="31" fillId="0" borderId="14" xfId="0" applyNumberFormat="1" applyFont="1" applyBorder="1" applyAlignment="1">
      <alignment/>
    </xf>
    <xf numFmtId="0" fontId="2" fillId="0" borderId="14" xfId="0" applyFont="1" applyBorder="1" applyAlignment="1">
      <alignment horizontal="right"/>
    </xf>
    <xf numFmtId="3" fontId="30" fillId="0" borderId="14" xfId="0" applyNumberFormat="1" applyFont="1" applyFill="1" applyBorder="1" applyAlignment="1">
      <alignment horizontal="right"/>
    </xf>
    <xf numFmtId="49" fontId="2" fillId="0" borderId="14" xfId="0" applyNumberFormat="1" applyFont="1" applyFill="1" applyBorder="1" applyAlignment="1">
      <alignment horizontal="right"/>
    </xf>
    <xf numFmtId="3" fontId="30" fillId="0" borderId="14" xfId="0" applyNumberFormat="1" applyFont="1" applyBorder="1" applyAlignment="1">
      <alignment horizontal="right" wrapText="1"/>
    </xf>
    <xf numFmtId="3" fontId="30" fillId="0" borderId="14" xfId="0" applyNumberFormat="1" applyFont="1" applyFill="1" applyBorder="1" applyAlignment="1">
      <alignment horizontal="right" wrapText="1"/>
    </xf>
    <xf numFmtId="3" fontId="30" fillId="0" borderId="14" xfId="0" applyNumberFormat="1" applyFont="1" applyBorder="1" applyAlignment="1">
      <alignment horizontal="right"/>
    </xf>
    <xf numFmtId="1" fontId="2" fillId="0" borderId="14" xfId="0" applyNumberFormat="1" applyFont="1" applyBorder="1" applyAlignment="1">
      <alignment/>
    </xf>
    <xf numFmtId="0" fontId="9" fillId="0" borderId="14" xfId="0" applyFont="1" applyFill="1" applyBorder="1" applyAlignment="1" applyProtection="1">
      <alignment horizontal="left" wrapText="1"/>
      <protection/>
    </xf>
    <xf numFmtId="0" fontId="2" fillId="0" borderId="14" xfId="0" applyFont="1" applyFill="1" applyBorder="1" applyAlignment="1">
      <alignment/>
    </xf>
    <xf numFmtId="0" fontId="37" fillId="0" borderId="14" xfId="0" applyFont="1" applyBorder="1" applyAlignment="1">
      <alignment horizontal="center" wrapText="1"/>
    </xf>
    <xf numFmtId="0" fontId="9" fillId="0" borderId="14" xfId="51" applyFont="1" applyBorder="1" applyAlignment="1">
      <alignment horizontal="left" wrapText="1"/>
      <protection/>
    </xf>
    <xf numFmtId="3" fontId="43" fillId="0" borderId="14" xfId="0" applyNumberFormat="1" applyFont="1" applyBorder="1" applyAlignment="1">
      <alignment horizontal="right"/>
    </xf>
    <xf numFmtId="49" fontId="30" fillId="0" borderId="14" xfId="0" applyNumberFormat="1" applyFont="1" applyBorder="1" applyAlignment="1">
      <alignment/>
    </xf>
    <xf numFmtId="3" fontId="37" fillId="0" borderId="14" xfId="0" applyNumberFormat="1" applyFont="1" applyBorder="1" applyAlignment="1">
      <alignment horizontal="center" wrapText="1"/>
    </xf>
    <xf numFmtId="3" fontId="9" fillId="0" borderId="14" xfId="0" applyNumberFormat="1" applyFont="1" applyBorder="1" applyAlignment="1">
      <alignment horizontal="center" wrapText="1"/>
    </xf>
    <xf numFmtId="0" fontId="9" fillId="0" borderId="14" xfId="0" applyFont="1" applyFill="1" applyBorder="1" applyAlignment="1">
      <alignment/>
    </xf>
    <xf numFmtId="3" fontId="10" fillId="0" borderId="14" xfId="0" applyNumberFormat="1" applyFont="1" applyBorder="1" applyAlignment="1">
      <alignment horizontal="center" wrapText="1"/>
    </xf>
    <xf numFmtId="0" fontId="37" fillId="0" borderId="14" xfId="0" applyFont="1" applyFill="1" applyBorder="1" applyAlignment="1">
      <alignment horizontal="center" wrapText="1"/>
    </xf>
    <xf numFmtId="3" fontId="9" fillId="0" borderId="14" xfId="0" applyNumberFormat="1" applyFont="1" applyFill="1" applyBorder="1" applyAlignment="1">
      <alignment horizontal="center" wrapText="1"/>
    </xf>
    <xf numFmtId="3" fontId="41" fillId="0" borderId="14" xfId="0" applyNumberFormat="1" applyFont="1" applyFill="1" applyBorder="1" applyAlignment="1">
      <alignment wrapText="1"/>
    </xf>
    <xf numFmtId="0" fontId="49" fillId="0" borderId="14" xfId="0" applyFont="1" applyFill="1" applyBorder="1" applyAlignment="1">
      <alignment/>
    </xf>
    <xf numFmtId="0" fontId="45" fillId="0" borderId="16" xfId="0" applyFont="1" applyBorder="1" applyAlignment="1">
      <alignment wrapText="1"/>
    </xf>
    <xf numFmtId="0" fontId="45" fillId="0" borderId="14" xfId="0" applyFont="1" applyBorder="1" applyAlignment="1">
      <alignment horizontal="center" wrapText="1"/>
    </xf>
    <xf numFmtId="0" fontId="45" fillId="0" borderId="14" xfId="0" applyFont="1" applyFill="1" applyBorder="1" applyAlignment="1">
      <alignment horizontal="center" wrapText="1"/>
    </xf>
    <xf numFmtId="0" fontId="45" fillId="0" borderId="35" xfId="0" applyFont="1" applyFill="1" applyBorder="1" applyAlignment="1">
      <alignment horizontal="center" wrapText="1"/>
    </xf>
    <xf numFmtId="0" fontId="9" fillId="0" borderId="0" xfId="0" applyFont="1" applyBorder="1" applyAlignment="1" applyProtection="1">
      <alignment horizontal="left" wrapText="1"/>
      <protection/>
    </xf>
    <xf numFmtId="227" fontId="66" fillId="28" borderId="14" xfId="0" applyNumberFormat="1" applyFont="1" applyFill="1" applyBorder="1" applyAlignment="1">
      <alignment horizontal="left" vertical="center" wrapText="1"/>
    </xf>
    <xf numFmtId="0" fontId="30" fillId="0" borderId="14" xfId="0" applyFont="1" applyBorder="1" applyAlignment="1">
      <alignment horizontal="left" wrapText="1"/>
    </xf>
    <xf numFmtId="0" fontId="10" fillId="0" borderId="14" xfId="0" applyFont="1" applyFill="1" applyBorder="1" applyAlignment="1">
      <alignment horizontal="right" wrapText="1"/>
    </xf>
    <xf numFmtId="0" fontId="9" fillId="0" borderId="14" xfId="0" applyFont="1" applyFill="1" applyBorder="1" applyAlignment="1">
      <alignment horizontal="right" wrapText="1"/>
    </xf>
    <xf numFmtId="0" fontId="53" fillId="0" borderId="14" xfId="0" applyFont="1" applyFill="1" applyBorder="1" applyAlignment="1">
      <alignment/>
    </xf>
    <xf numFmtId="49" fontId="45" fillId="0" borderId="14" xfId="0" applyNumberFormat="1" applyFont="1" applyFill="1" applyBorder="1" applyAlignment="1">
      <alignment horizontal="left" vertical="center" wrapText="1"/>
    </xf>
    <xf numFmtId="3" fontId="45" fillId="0" borderId="14" xfId="0" applyNumberFormat="1" applyFont="1" applyFill="1" applyBorder="1" applyAlignment="1">
      <alignment horizontal="right"/>
    </xf>
    <xf numFmtId="0" fontId="45" fillId="0" borderId="14" xfId="0" applyFont="1" applyFill="1" applyBorder="1" applyAlignment="1">
      <alignment wrapText="1"/>
    </xf>
    <xf numFmtId="49" fontId="45" fillId="0" borderId="14" xfId="0" applyNumberFormat="1" applyFont="1" applyFill="1" applyBorder="1" applyAlignment="1">
      <alignment vertical="center" wrapText="1"/>
    </xf>
    <xf numFmtId="0" fontId="45" fillId="0" borderId="14" xfId="0" applyFont="1" applyFill="1" applyBorder="1" applyAlignment="1">
      <alignment horizontal="justify" vertical="center"/>
    </xf>
    <xf numFmtId="49" fontId="10" fillId="0" borderId="14" xfId="0" applyNumberFormat="1" applyFont="1" applyFill="1" applyBorder="1" applyAlignment="1">
      <alignment horizontal="left"/>
    </xf>
    <xf numFmtId="0" fontId="45" fillId="0" borderId="14" xfId="0" applyFont="1" applyFill="1" applyBorder="1" applyAlignment="1">
      <alignment wrapText="1"/>
    </xf>
    <xf numFmtId="0" fontId="43" fillId="0" borderId="14" xfId="0" applyFont="1" applyBorder="1" applyAlignment="1">
      <alignment/>
    </xf>
    <xf numFmtId="3" fontId="56" fillId="0" borderId="14" xfId="0" applyNumberFormat="1" applyFont="1" applyFill="1" applyBorder="1" applyAlignment="1">
      <alignment horizontal="right"/>
    </xf>
    <xf numFmtId="0" fontId="2" fillId="0" borderId="14" xfId="0" applyFont="1" applyFill="1" applyBorder="1" applyAlignment="1">
      <alignment horizontal="left" wrapText="1"/>
    </xf>
    <xf numFmtId="0" fontId="49" fillId="0" borderId="14" xfId="0" applyFont="1" applyFill="1" applyBorder="1" applyAlignment="1">
      <alignment/>
    </xf>
    <xf numFmtId="0" fontId="9" fillId="0" borderId="14" xfId="0" applyFont="1" applyFill="1" applyBorder="1" applyAlignment="1">
      <alignment horizontal="left" vertical="top" wrapText="1"/>
    </xf>
    <xf numFmtId="0" fontId="30" fillId="25" borderId="14" xfId="51" applyFont="1" applyFill="1" applyBorder="1" applyAlignment="1">
      <alignment horizontal="right" wrapText="1"/>
      <protection/>
    </xf>
    <xf numFmtId="49" fontId="9" fillId="0" borderId="14" xfId="0" applyNumberFormat="1" applyFont="1" applyFill="1" applyBorder="1" applyAlignment="1">
      <alignment horizontal="left" vertical="center"/>
    </xf>
    <xf numFmtId="0" fontId="30" fillId="0" borderId="47" xfId="0" applyFont="1" applyBorder="1" applyAlignment="1">
      <alignment wrapText="1"/>
    </xf>
    <xf numFmtId="0" fontId="9" fillId="0" borderId="0" xfId="0" applyFont="1" applyBorder="1" applyAlignment="1">
      <alignment wrapText="1"/>
    </xf>
    <xf numFmtId="0" fontId="51" fillId="0" borderId="14" xfId="57" applyFont="1" applyBorder="1" applyAlignment="1">
      <alignment horizontal="left" wrapText="1"/>
      <protection/>
    </xf>
    <xf numFmtId="0" fontId="9" fillId="0" borderId="0" xfId="0" applyFont="1" applyFill="1" applyBorder="1" applyAlignment="1">
      <alignment wrapText="1"/>
    </xf>
    <xf numFmtId="0" fontId="9" fillId="0" borderId="0" xfId="0" applyFont="1" applyFill="1" applyBorder="1" applyAlignment="1">
      <alignment horizontal="center"/>
    </xf>
    <xf numFmtId="1" fontId="4" fillId="0" borderId="60" xfId="0" applyNumberFormat="1" applyFont="1" applyFill="1" applyBorder="1" applyAlignment="1">
      <alignment/>
    </xf>
    <xf numFmtId="0" fontId="1" fillId="0" borderId="0" xfId="0" applyFont="1" applyBorder="1" applyAlignment="1">
      <alignment/>
    </xf>
    <xf numFmtId="1" fontId="5" fillId="0" borderId="0" xfId="0" applyNumberFormat="1" applyFont="1" applyBorder="1" applyAlignment="1">
      <alignment/>
    </xf>
    <xf numFmtId="1" fontId="4" fillId="0" borderId="63" xfId="0" applyNumberFormat="1" applyFont="1" applyFill="1" applyBorder="1" applyAlignment="1">
      <alignment/>
    </xf>
    <xf numFmtId="1" fontId="40" fillId="0" borderId="32" xfId="0" applyNumberFormat="1" applyFont="1" applyFill="1" applyBorder="1" applyAlignment="1">
      <alignment/>
    </xf>
    <xf numFmtId="0" fontId="30" fillId="0" borderId="18" xfId="51" applyFont="1" applyBorder="1" applyAlignment="1">
      <alignment horizontal="left" wrapText="1"/>
      <protection/>
    </xf>
    <xf numFmtId="0" fontId="9" fillId="0" borderId="20" xfId="54" applyFont="1" applyFill="1" applyBorder="1" applyAlignment="1">
      <alignment vertical="center" wrapText="1"/>
      <protection/>
    </xf>
    <xf numFmtId="49" fontId="9" fillId="0" borderId="14" xfId="0" applyNumberFormat="1" applyFont="1" applyFill="1" applyBorder="1" applyAlignment="1">
      <alignment horizontal="right" wrapText="1"/>
    </xf>
    <xf numFmtId="3" fontId="2" fillId="0" borderId="46" xfId="0" applyNumberFormat="1" applyFont="1" applyFill="1" applyBorder="1" applyAlignment="1">
      <alignment/>
    </xf>
    <xf numFmtId="0" fontId="2" fillId="0" borderId="14" xfId="51" applyFont="1" applyFill="1" applyBorder="1" applyAlignment="1">
      <alignment horizontal="right" wrapText="1"/>
      <protection/>
    </xf>
    <xf numFmtId="49" fontId="2" fillId="0" borderId="14" xfId="0" applyNumberFormat="1" applyFont="1" applyBorder="1" applyAlignment="1">
      <alignment horizontal="left"/>
    </xf>
    <xf numFmtId="0" fontId="9" fillId="0" borderId="16" xfId="0" applyFont="1" applyFill="1" applyBorder="1" applyAlignment="1">
      <alignment horizontal="left" wrapText="1"/>
    </xf>
    <xf numFmtId="0" fontId="9" fillId="0" borderId="14" xfId="52" applyFont="1" applyFill="1" applyBorder="1" applyAlignment="1">
      <alignment horizontal="left" vertical="center" wrapText="1"/>
      <protection/>
    </xf>
    <xf numFmtId="0" fontId="9" fillId="0" borderId="14" xfId="52" applyFont="1" applyFill="1" applyBorder="1" applyAlignment="1">
      <alignment horizontal="left" wrapText="1"/>
      <protection/>
    </xf>
    <xf numFmtId="0" fontId="0" fillId="0" borderId="0" xfId="0" applyFill="1" applyAlignment="1">
      <alignment/>
    </xf>
    <xf numFmtId="0" fontId="9" fillId="0" borderId="46" xfId="0" applyFont="1" applyFill="1" applyBorder="1" applyAlignment="1">
      <alignment horizontal="left" wrapText="1"/>
    </xf>
    <xf numFmtId="1" fontId="40" fillId="0" borderId="30" xfId="0" applyNumberFormat="1" applyFont="1" applyFill="1" applyBorder="1" applyAlignment="1">
      <alignment/>
    </xf>
    <xf numFmtId="1" fontId="4" fillId="0" borderId="32" xfId="0" applyNumberFormat="1" applyFont="1" applyFill="1" applyBorder="1" applyAlignment="1">
      <alignment/>
    </xf>
    <xf numFmtId="1" fontId="0" fillId="0" borderId="14" xfId="0" applyNumberFormat="1" applyFont="1" applyFill="1" applyBorder="1" applyAlignment="1">
      <alignment/>
    </xf>
    <xf numFmtId="1" fontId="2" fillId="0" borderId="14" xfId="0" applyNumberFormat="1" applyFont="1" applyFill="1" applyBorder="1" applyAlignment="1">
      <alignment/>
    </xf>
    <xf numFmtId="3" fontId="9" fillId="0" borderId="0" xfId="0" applyNumberFormat="1" applyFont="1" applyFill="1" applyAlignment="1">
      <alignment horizontal="right" wrapText="1"/>
    </xf>
    <xf numFmtId="0" fontId="37" fillId="0" borderId="0" xfId="0" applyFont="1" applyBorder="1" applyAlignment="1">
      <alignment horizontal="center" wrapText="1"/>
    </xf>
    <xf numFmtId="3" fontId="10" fillId="0" borderId="0" xfId="0" applyNumberFormat="1" applyFont="1" applyBorder="1" applyAlignment="1">
      <alignment horizontal="center" wrapText="1"/>
    </xf>
    <xf numFmtId="0" fontId="9" fillId="0" borderId="0" xfId="0" applyFont="1" applyBorder="1" applyAlignment="1">
      <alignment/>
    </xf>
    <xf numFmtId="1" fontId="0" fillId="0" borderId="16" xfId="0" applyNumberFormat="1" applyFont="1" applyFill="1" applyBorder="1" applyAlignment="1">
      <alignment/>
    </xf>
    <xf numFmtId="1" fontId="4" fillId="0" borderId="17" xfId="0" applyNumberFormat="1" applyFont="1" applyFill="1" applyBorder="1" applyAlignment="1">
      <alignment/>
    </xf>
    <xf numFmtId="0" fontId="49" fillId="0" borderId="16" xfId="0" applyFont="1" applyFill="1" applyBorder="1" applyAlignment="1">
      <alignment/>
    </xf>
    <xf numFmtId="49" fontId="45" fillId="0" borderId="14" xfId="0" applyNumberFormat="1" applyFont="1" applyFill="1" applyBorder="1" applyAlignment="1">
      <alignment horizontal="left" wrapText="1"/>
    </xf>
    <xf numFmtId="227" fontId="66" fillId="28" borderId="14" xfId="0" applyNumberFormat="1" applyFont="1" applyFill="1" applyBorder="1" applyAlignment="1">
      <alignment horizontal="left" wrapText="1"/>
    </xf>
    <xf numFmtId="3" fontId="31" fillId="0" borderId="0" xfId="0" applyNumberFormat="1" applyFont="1" applyBorder="1" applyAlignment="1">
      <alignment wrapText="1"/>
    </xf>
    <xf numFmtId="3" fontId="9" fillId="0" borderId="12" xfId="0" applyNumberFormat="1" applyFont="1" applyFill="1" applyBorder="1" applyAlignment="1" applyProtection="1">
      <alignment/>
      <protection/>
    </xf>
    <xf numFmtId="3" fontId="10" fillId="0" borderId="37" xfId="0" applyNumberFormat="1" applyFont="1" applyFill="1" applyBorder="1" applyAlignment="1" applyProtection="1">
      <alignment/>
      <protection/>
    </xf>
    <xf numFmtId="3" fontId="10" fillId="0" borderId="66" xfId="0" applyNumberFormat="1" applyFont="1" applyFill="1" applyBorder="1" applyAlignment="1">
      <alignment/>
    </xf>
    <xf numFmtId="3" fontId="9" fillId="0" borderId="37" xfId="0" applyNumberFormat="1" applyFont="1" applyFill="1" applyBorder="1" applyAlignment="1" applyProtection="1">
      <alignment/>
      <protection/>
    </xf>
    <xf numFmtId="3" fontId="10" fillId="0" borderId="27" xfId="0" applyNumberFormat="1" applyFont="1" applyFill="1" applyBorder="1" applyAlignment="1" applyProtection="1">
      <alignment/>
      <protection/>
    </xf>
    <xf numFmtId="3" fontId="9" fillId="0" borderId="30" xfId="0" applyNumberFormat="1" applyFont="1" applyFill="1" applyBorder="1" applyAlignment="1" applyProtection="1">
      <alignment horizontal="left" wrapText="1"/>
      <protection/>
    </xf>
    <xf numFmtId="3" fontId="10" fillId="0" borderId="30" xfId="0" applyNumberFormat="1" applyFont="1" applyFill="1" applyBorder="1" applyAlignment="1" applyProtection="1">
      <alignment horizontal="right"/>
      <protection/>
    </xf>
    <xf numFmtId="3" fontId="10" fillId="0" borderId="28" xfId="0" applyNumberFormat="1" applyFont="1" applyFill="1" applyBorder="1" applyAlignment="1" applyProtection="1">
      <alignment horizontal="right"/>
      <protection/>
    </xf>
    <xf numFmtId="3" fontId="9" fillId="0" borderId="0" xfId="0" applyNumberFormat="1" applyFont="1" applyBorder="1" applyAlignment="1">
      <alignment horizontal="center" wrapText="1"/>
    </xf>
    <xf numFmtId="3" fontId="9" fillId="0" borderId="37" xfId="57" applyNumberFormat="1" applyFont="1" applyBorder="1" applyAlignment="1">
      <alignment horizontal="right"/>
      <protection/>
    </xf>
    <xf numFmtId="3" fontId="9" fillId="0" borderId="14" xfId="51" applyNumberFormat="1" applyFont="1" applyFill="1" applyBorder="1" applyAlignment="1">
      <alignment horizontal="right" wrapText="1"/>
      <protection/>
    </xf>
    <xf numFmtId="0" fontId="61" fillId="0" borderId="14" xfId="0" applyFont="1" applyFill="1" applyBorder="1" applyAlignment="1">
      <alignment wrapText="1"/>
    </xf>
    <xf numFmtId="0" fontId="9" fillId="0" borderId="14" xfId="57" applyFont="1" applyFill="1" applyBorder="1" applyAlignment="1">
      <alignment wrapText="1"/>
      <protection/>
    </xf>
    <xf numFmtId="0" fontId="48" fillId="0" borderId="14" xfId="0" applyFont="1" applyBorder="1" applyAlignment="1">
      <alignment horizontal="left" wrapText="1"/>
    </xf>
    <xf numFmtId="0" fontId="44" fillId="0" borderId="14" xfId="0" applyFont="1" applyFill="1" applyBorder="1" applyAlignment="1">
      <alignment/>
    </xf>
    <xf numFmtId="0" fontId="44" fillId="0" borderId="14" xfId="0" applyFont="1" applyBorder="1" applyAlignment="1">
      <alignment/>
    </xf>
    <xf numFmtId="0" fontId="48" fillId="0" borderId="14" xfId="0" applyFont="1" applyFill="1" applyBorder="1" applyAlignment="1">
      <alignment horizontal="left" wrapText="1"/>
    </xf>
    <xf numFmtId="3" fontId="9" fillId="0" borderId="14" xfId="0" applyNumberFormat="1" applyFont="1" applyBorder="1" applyAlignment="1">
      <alignment horizontal="right" wrapText="1"/>
    </xf>
    <xf numFmtId="49" fontId="30" fillId="0" borderId="14" xfId="0" applyNumberFormat="1" applyFont="1" applyFill="1" applyBorder="1" applyAlignment="1">
      <alignment horizontal="left"/>
    </xf>
    <xf numFmtId="0" fontId="9" fillId="0" borderId="14" xfId="52" applyFont="1" applyFill="1" applyBorder="1" applyAlignment="1">
      <alignment horizontal="right" vertical="center" wrapText="1"/>
      <protection/>
    </xf>
    <xf numFmtId="227" fontId="66" fillId="28" borderId="14" xfId="0" applyNumberFormat="1" applyFont="1" applyFill="1" applyBorder="1" applyAlignment="1">
      <alignment horizontal="left" vertical="center"/>
    </xf>
    <xf numFmtId="0" fontId="36" fillId="0" borderId="0" xfId="0" applyFont="1" applyFill="1" applyAlignment="1">
      <alignment horizontal="center"/>
    </xf>
    <xf numFmtId="3" fontId="36" fillId="0" borderId="67" xfId="0" applyNumberFormat="1" applyFont="1" applyFill="1" applyBorder="1" applyAlignment="1">
      <alignment horizontal="center" wrapText="1"/>
    </xf>
    <xf numFmtId="0" fontId="37" fillId="0" borderId="0" xfId="0" applyFont="1" applyAlignment="1">
      <alignment horizontal="center" wrapText="1"/>
    </xf>
    <xf numFmtId="0" fontId="29" fillId="0" borderId="0" xfId="0" applyFont="1" applyAlignment="1">
      <alignment horizontal="center" wrapText="1"/>
    </xf>
    <xf numFmtId="0" fontId="54" fillId="0" borderId="0" xfId="0" applyFont="1" applyFill="1" applyBorder="1" applyAlignment="1">
      <alignment horizontal="center" vertical="center" wrapText="1"/>
    </xf>
    <xf numFmtId="0" fontId="29" fillId="0" borderId="33" xfId="0" applyFont="1" applyBorder="1" applyAlignment="1">
      <alignment horizontal="center"/>
    </xf>
    <xf numFmtId="0" fontId="9" fillId="0" borderId="0" xfId="0" applyFont="1" applyAlignment="1">
      <alignment horizontal="left" wrapText="1"/>
    </xf>
    <xf numFmtId="0" fontId="31" fillId="0" borderId="14" xfId="0" applyFont="1" applyBorder="1" applyAlignment="1">
      <alignment horizontal="center" vertical="center"/>
    </xf>
    <xf numFmtId="0" fontId="10" fillId="0" borderId="14" xfId="0" applyFont="1" applyBorder="1" applyAlignment="1">
      <alignment horizontal="right"/>
    </xf>
    <xf numFmtId="0" fontId="30" fillId="0" borderId="14" xfId="0" applyFont="1" applyBorder="1" applyAlignment="1">
      <alignment horizontal="left" wrapText="1"/>
    </xf>
    <xf numFmtId="0" fontId="3" fillId="0" borderId="0" xfId="0" applyFont="1" applyAlignment="1">
      <alignment horizontal="center" wrapText="1"/>
    </xf>
    <xf numFmtId="0" fontId="6" fillId="0" borderId="0" xfId="0" applyFont="1" applyBorder="1" applyAlignment="1">
      <alignment horizontal="center" vertical="center"/>
    </xf>
    <xf numFmtId="0" fontId="10" fillId="0" borderId="0" xfId="0" applyFont="1" applyBorder="1" applyAlignment="1">
      <alignment horizontal="center" wrapText="1"/>
    </xf>
  </cellXfs>
  <cellStyles count="56">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Followed Hyperlink" xfId="43"/>
    <cellStyle name="Izvade" xfId="44"/>
    <cellStyle name="Comma" xfId="45"/>
    <cellStyle name="Comma [0]" xfId="46"/>
    <cellStyle name="Kopsumma" xfId="47"/>
    <cellStyle name="Labs" xfId="48"/>
    <cellStyle name="Neitrāls" xfId="49"/>
    <cellStyle name="Normal_2009.g plāns apst 3" xfId="50"/>
    <cellStyle name="Normal_PROJEKTI_2016_PLĀNS_Aija un Inese" xfId="51"/>
    <cellStyle name="Normal_PROJEKTI_2016_PLĀNS_Aija un Inese 2" xfId="52"/>
    <cellStyle name="Normal_Sheet1" xfId="53"/>
    <cellStyle name="Normal_Sheet1_Pielikumi oktobra korekcijam 2" xfId="54"/>
    <cellStyle name="Normal_Specbudz.kopsavilkums 2006.g un korekc. 2" xfId="55"/>
    <cellStyle name="Nosaukums" xfId="56"/>
    <cellStyle name="Parasts 2" xfId="57"/>
    <cellStyle name="Paskaidrojošs teksts" xfId="58"/>
    <cellStyle name="Pārbaudes šūna" xfId="59"/>
    <cellStyle name="Piezīme" xfId="60"/>
    <cellStyle name="Percent" xfId="61"/>
    <cellStyle name="Saistīta šūna" xfId="62"/>
    <cellStyle name="Slikts" xfId="63"/>
    <cellStyle name="Currency" xfId="64"/>
    <cellStyle name="Currency [0]" xfId="65"/>
    <cellStyle name="Virsraksts 1" xfId="66"/>
    <cellStyle name="Virsraksts 2" xfId="67"/>
    <cellStyle name="Virsraksts 3" xfId="68"/>
    <cellStyle name="Virsraksts 4"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11"/>
  <sheetViews>
    <sheetView tabSelected="1" zoomScale="98" zoomScaleNormal="98" zoomScalePageLayoutView="0" workbookViewId="0" topLeftCell="A1">
      <pane xSplit="2" ySplit="7" topLeftCell="C8" activePane="bottomRight" state="frozen"/>
      <selection pane="topLeft" activeCell="A1" sqref="A1"/>
      <selection pane="topRight" activeCell="D1" sqref="D1"/>
      <selection pane="bottomLeft" activeCell="A8" sqref="A8"/>
      <selection pane="bottomRight" activeCell="R53" sqref="R53"/>
    </sheetView>
  </sheetViews>
  <sheetFormatPr defaultColWidth="9.140625" defaultRowHeight="12.75"/>
  <cols>
    <col min="1" max="1" width="13.28125" style="237" customWidth="1"/>
    <col min="2" max="2" width="41.00390625" style="449" customWidth="1"/>
    <col min="3" max="3" width="12.7109375" style="237" customWidth="1"/>
    <col min="4" max="4" width="13.8515625" style="451" customWidth="1"/>
    <col min="5" max="5" width="10.7109375" style="237" customWidth="1"/>
    <col min="6" max="6" width="11.00390625" style="237" customWidth="1"/>
    <col min="7" max="7" width="10.8515625" style="237" bestFit="1" customWidth="1"/>
    <col min="8" max="8" width="9.7109375" style="237" customWidth="1"/>
    <col min="9" max="9" width="10.421875" style="237" customWidth="1"/>
    <col min="10" max="10" width="11.28125" style="237" customWidth="1"/>
    <col min="11" max="11" width="10.00390625" style="237" customWidth="1"/>
    <col min="12" max="12" width="9.7109375" style="237" customWidth="1"/>
    <col min="13" max="13" width="10.421875" style="237" customWidth="1"/>
    <col min="14" max="14" width="10.28125" style="237" customWidth="1"/>
    <col min="15" max="15" width="13.00390625" style="453" customWidth="1"/>
    <col min="16" max="16384" width="9.140625" style="237" customWidth="1"/>
  </cols>
  <sheetData>
    <row r="1" spans="5:14" ht="15">
      <c r="E1" s="452"/>
      <c r="F1" s="452"/>
      <c r="N1" s="230" t="s">
        <v>25</v>
      </c>
    </row>
    <row r="2" spans="1:14" ht="15">
      <c r="A2" s="454"/>
      <c r="E2" s="454"/>
      <c r="F2" s="454"/>
      <c r="N2" s="230" t="s">
        <v>605</v>
      </c>
    </row>
    <row r="3" spans="1:14" ht="15">
      <c r="A3" s="454"/>
      <c r="E3" s="454"/>
      <c r="F3" s="454"/>
      <c r="N3" s="230" t="s">
        <v>998</v>
      </c>
    </row>
    <row r="5" spans="1:4" ht="20.25">
      <c r="A5" s="584" t="s">
        <v>676</v>
      </c>
      <c r="B5" s="584"/>
      <c r="C5" s="584"/>
      <c r="D5" s="584"/>
    </row>
    <row r="6" spans="1:13" ht="15.75" thickBot="1">
      <c r="A6" s="454"/>
      <c r="B6" s="455"/>
      <c r="C6" s="454"/>
      <c r="M6" s="456"/>
    </row>
    <row r="7" spans="1:15" ht="104.25" customHeight="1" thickBot="1">
      <c r="A7" s="287" t="s">
        <v>23</v>
      </c>
      <c r="B7" s="288" t="s">
        <v>159</v>
      </c>
      <c r="C7" s="290" t="s">
        <v>614</v>
      </c>
      <c r="D7" s="291" t="s">
        <v>615</v>
      </c>
      <c r="E7" s="289" t="s">
        <v>616</v>
      </c>
      <c r="F7" s="289" t="s">
        <v>617</v>
      </c>
      <c r="G7" s="244" t="s">
        <v>618</v>
      </c>
      <c r="H7" s="244" t="s">
        <v>619</v>
      </c>
      <c r="I7" s="244" t="s">
        <v>620</v>
      </c>
      <c r="J7" s="244" t="s">
        <v>621</v>
      </c>
      <c r="K7" s="244" t="s">
        <v>622</v>
      </c>
      <c r="L7" s="244" t="s">
        <v>623</v>
      </c>
      <c r="M7" s="244" t="s">
        <v>624</v>
      </c>
      <c r="N7" s="539" t="s">
        <v>625</v>
      </c>
      <c r="O7" s="292" t="s">
        <v>626</v>
      </c>
    </row>
    <row r="8" spans="1:15" ht="15.75" thickBot="1">
      <c r="A8" s="293"/>
      <c r="B8" s="294" t="s">
        <v>38</v>
      </c>
      <c r="C8" s="295">
        <f>C9+C12+C17+C18</f>
        <v>24695547</v>
      </c>
      <c r="D8" s="295">
        <f aca="true" t="shared" si="0" ref="D8:N8">D9+D12+D18</f>
        <v>0</v>
      </c>
      <c r="E8" s="295">
        <f t="shared" si="0"/>
        <v>0</v>
      </c>
      <c r="F8" s="296">
        <f t="shared" si="0"/>
        <v>0</v>
      </c>
      <c r="G8" s="295">
        <f>G9+G12+G18</f>
        <v>109850</v>
      </c>
      <c r="H8" s="295">
        <f t="shared" si="0"/>
        <v>50140</v>
      </c>
      <c r="I8" s="295">
        <f t="shared" si="0"/>
        <v>44700</v>
      </c>
      <c r="J8" s="295">
        <f t="shared" si="0"/>
        <v>102948</v>
      </c>
      <c r="K8" s="295">
        <f t="shared" si="0"/>
        <v>55000</v>
      </c>
      <c r="L8" s="295">
        <f t="shared" si="0"/>
        <v>49012</v>
      </c>
      <c r="M8" s="295">
        <f t="shared" si="0"/>
        <v>48623</v>
      </c>
      <c r="N8" s="295">
        <f t="shared" si="0"/>
        <v>68172</v>
      </c>
      <c r="O8" s="297">
        <f>SUM(C8:N8)</f>
        <v>25223992</v>
      </c>
    </row>
    <row r="9" spans="1:15" ht="15">
      <c r="A9" s="298" t="s">
        <v>39</v>
      </c>
      <c r="B9" s="299" t="s">
        <v>160</v>
      </c>
      <c r="C9" s="300">
        <f aca="true" t="shared" si="1" ref="C9:N9">SUM(C10:C11)</f>
        <v>22842645</v>
      </c>
      <c r="D9" s="300">
        <f t="shared" si="1"/>
        <v>0</v>
      </c>
      <c r="E9" s="300">
        <f t="shared" si="1"/>
        <v>0</v>
      </c>
      <c r="F9" s="249">
        <f t="shared" si="1"/>
        <v>0</v>
      </c>
      <c r="G9" s="300">
        <f t="shared" si="1"/>
        <v>0</v>
      </c>
      <c r="H9" s="300">
        <f t="shared" si="1"/>
        <v>0</v>
      </c>
      <c r="I9" s="300">
        <f t="shared" si="1"/>
        <v>0</v>
      </c>
      <c r="J9" s="300">
        <f t="shared" si="1"/>
        <v>0</v>
      </c>
      <c r="K9" s="300">
        <f t="shared" si="1"/>
        <v>0</v>
      </c>
      <c r="L9" s="300">
        <f t="shared" si="1"/>
        <v>0</v>
      </c>
      <c r="M9" s="300">
        <f t="shared" si="1"/>
        <v>0</v>
      </c>
      <c r="N9" s="300">
        <f t="shared" si="1"/>
        <v>0</v>
      </c>
      <c r="O9" s="301">
        <f aca="true" t="shared" si="2" ref="O9:O49">SUM(C9:N9)</f>
        <v>22842645</v>
      </c>
    </row>
    <row r="10" spans="1:15" ht="45">
      <c r="A10" s="302" t="s">
        <v>40</v>
      </c>
      <c r="B10" s="245" t="s">
        <v>161</v>
      </c>
      <c r="C10" s="214"/>
      <c r="D10" s="214"/>
      <c r="E10" s="214"/>
      <c r="F10" s="303"/>
      <c r="G10" s="214"/>
      <c r="H10" s="214"/>
      <c r="I10" s="214"/>
      <c r="J10" s="214"/>
      <c r="K10" s="214"/>
      <c r="L10" s="214"/>
      <c r="M10" s="214"/>
      <c r="N10" s="214"/>
      <c r="O10" s="301">
        <f t="shared" si="2"/>
        <v>0</v>
      </c>
    </row>
    <row r="11" spans="1:15" ht="30">
      <c r="A11" s="302" t="s">
        <v>41</v>
      </c>
      <c r="B11" s="245" t="s">
        <v>162</v>
      </c>
      <c r="C11" s="214">
        <v>22842645</v>
      </c>
      <c r="D11" s="214"/>
      <c r="E11" s="214"/>
      <c r="F11" s="303"/>
      <c r="G11" s="214"/>
      <c r="H11" s="214"/>
      <c r="I11" s="214"/>
      <c r="J11" s="214"/>
      <c r="K11" s="214"/>
      <c r="L11" s="214"/>
      <c r="M11" s="214"/>
      <c r="N11" s="214"/>
      <c r="O11" s="301">
        <f t="shared" si="2"/>
        <v>22842645</v>
      </c>
    </row>
    <row r="12" spans="1:15" ht="15">
      <c r="A12" s="304" t="s">
        <v>163</v>
      </c>
      <c r="B12" s="245" t="s">
        <v>164</v>
      </c>
      <c r="C12" s="214">
        <f>C13</f>
        <v>1785185</v>
      </c>
      <c r="D12" s="214"/>
      <c r="E12" s="214"/>
      <c r="F12" s="303"/>
      <c r="G12" s="214">
        <f>G13</f>
        <v>109850</v>
      </c>
      <c r="H12" s="305">
        <f aca="true" t="shared" si="3" ref="H12:N12">H13</f>
        <v>50140</v>
      </c>
      <c r="I12" s="305">
        <f t="shared" si="3"/>
        <v>44700</v>
      </c>
      <c r="J12" s="305">
        <f t="shared" si="3"/>
        <v>102948</v>
      </c>
      <c r="K12" s="305">
        <f t="shared" si="3"/>
        <v>55000</v>
      </c>
      <c r="L12" s="305">
        <f t="shared" si="3"/>
        <v>49012</v>
      </c>
      <c r="M12" s="305">
        <f t="shared" si="3"/>
        <v>48623</v>
      </c>
      <c r="N12" s="305">
        <f t="shared" si="3"/>
        <v>68172</v>
      </c>
      <c r="O12" s="301">
        <f t="shared" si="2"/>
        <v>2313630</v>
      </c>
    </row>
    <row r="13" spans="1:15" ht="15">
      <c r="A13" s="304" t="s">
        <v>42</v>
      </c>
      <c r="B13" s="245" t="s">
        <v>43</v>
      </c>
      <c r="C13" s="214">
        <f>SUM(C14:C16)</f>
        <v>1785185</v>
      </c>
      <c r="D13" s="214"/>
      <c r="E13" s="214"/>
      <c r="F13" s="303"/>
      <c r="G13" s="214">
        <f>SUM(G14:G16)</f>
        <v>109850</v>
      </c>
      <c r="H13" s="214">
        <f aca="true" t="shared" si="4" ref="H13:N13">SUM(H14:H16)</f>
        <v>50140</v>
      </c>
      <c r="I13" s="214">
        <f t="shared" si="4"/>
        <v>44700</v>
      </c>
      <c r="J13" s="214">
        <f t="shared" si="4"/>
        <v>102948</v>
      </c>
      <c r="K13" s="214">
        <f t="shared" si="4"/>
        <v>55000</v>
      </c>
      <c r="L13" s="214">
        <f t="shared" si="4"/>
        <v>49012</v>
      </c>
      <c r="M13" s="214">
        <f t="shared" si="4"/>
        <v>48623</v>
      </c>
      <c r="N13" s="214">
        <f t="shared" si="4"/>
        <v>68172</v>
      </c>
      <c r="O13" s="301">
        <f t="shared" si="2"/>
        <v>2313630</v>
      </c>
    </row>
    <row r="14" spans="1:15" ht="15">
      <c r="A14" s="302" t="s">
        <v>26</v>
      </c>
      <c r="B14" s="245" t="s">
        <v>44</v>
      </c>
      <c r="C14" s="306">
        <v>746892</v>
      </c>
      <c r="D14" s="305"/>
      <c r="E14" s="305"/>
      <c r="F14" s="307"/>
      <c r="G14" s="308">
        <v>93500</v>
      </c>
      <c r="H14" s="305">
        <v>45230</v>
      </c>
      <c r="I14" s="305">
        <v>40000</v>
      </c>
      <c r="J14" s="305">
        <v>92073</v>
      </c>
      <c r="K14" s="214">
        <v>49000</v>
      </c>
      <c r="L14" s="305">
        <v>44812</v>
      </c>
      <c r="M14" s="214">
        <v>45277</v>
      </c>
      <c r="N14" s="309">
        <v>62500</v>
      </c>
      <c r="O14" s="301">
        <f t="shared" si="2"/>
        <v>1219284</v>
      </c>
    </row>
    <row r="15" spans="1:15" ht="15">
      <c r="A15" s="302" t="s">
        <v>27</v>
      </c>
      <c r="B15" s="245" t="s">
        <v>45</v>
      </c>
      <c r="C15" s="305">
        <f>525850+61323</f>
        <v>587173</v>
      </c>
      <c r="D15" s="305"/>
      <c r="E15" s="305"/>
      <c r="F15" s="307"/>
      <c r="G15" s="308">
        <v>4950</v>
      </c>
      <c r="H15" s="305">
        <v>2950</v>
      </c>
      <c r="I15" s="305">
        <v>2200</v>
      </c>
      <c r="J15" s="305">
        <v>4386</v>
      </c>
      <c r="K15" s="214">
        <v>6000</v>
      </c>
      <c r="L15" s="305">
        <v>1400</v>
      </c>
      <c r="M15" s="214">
        <v>674</v>
      </c>
      <c r="N15" s="309">
        <v>1402</v>
      </c>
      <c r="O15" s="301">
        <f t="shared" si="2"/>
        <v>611135</v>
      </c>
    </row>
    <row r="16" spans="1:15" ht="15">
      <c r="A16" s="302" t="s">
        <v>230</v>
      </c>
      <c r="B16" s="245" t="s">
        <v>231</v>
      </c>
      <c r="C16" s="306">
        <v>451120</v>
      </c>
      <c r="D16" s="305"/>
      <c r="E16" s="305"/>
      <c r="F16" s="307"/>
      <c r="G16" s="308">
        <v>11400</v>
      </c>
      <c r="H16" s="305">
        <v>1960</v>
      </c>
      <c r="I16" s="214">
        <v>2500</v>
      </c>
      <c r="J16" s="305">
        <v>6489</v>
      </c>
      <c r="K16" s="305"/>
      <c r="L16" s="305">
        <v>2800</v>
      </c>
      <c r="M16" s="214">
        <v>2672</v>
      </c>
      <c r="N16" s="309">
        <v>4270</v>
      </c>
      <c r="O16" s="301">
        <f>SUM(C16:N16)</f>
        <v>483211</v>
      </c>
    </row>
    <row r="17" spans="1:15" ht="15">
      <c r="A17" s="310" t="s">
        <v>28</v>
      </c>
      <c r="B17" s="311" t="s">
        <v>46</v>
      </c>
      <c r="C17" s="313">
        <v>17717</v>
      </c>
      <c r="D17" s="312"/>
      <c r="E17" s="312"/>
      <c r="F17" s="314"/>
      <c r="G17" s="315"/>
      <c r="H17" s="312"/>
      <c r="I17" s="316"/>
      <c r="J17" s="312"/>
      <c r="K17" s="312"/>
      <c r="L17" s="312"/>
      <c r="M17" s="316"/>
      <c r="N17" s="314"/>
      <c r="O17" s="301">
        <f>SUM(C17:N17)</f>
        <v>17717</v>
      </c>
    </row>
    <row r="18" spans="1:15" ht="15.75" thickBot="1">
      <c r="A18" s="317" t="s">
        <v>627</v>
      </c>
      <c r="B18" s="318" t="s">
        <v>316</v>
      </c>
      <c r="C18" s="319">
        <v>50000</v>
      </c>
      <c r="D18" s="316"/>
      <c r="E18" s="316"/>
      <c r="F18" s="320"/>
      <c r="G18" s="316"/>
      <c r="H18" s="316"/>
      <c r="I18" s="316"/>
      <c r="J18" s="316"/>
      <c r="K18" s="316"/>
      <c r="L18" s="316"/>
      <c r="M18" s="316"/>
      <c r="N18" s="320"/>
      <c r="O18" s="321">
        <f>SUM(C18:N18)</f>
        <v>50000</v>
      </c>
    </row>
    <row r="19" spans="1:15" ht="15.75" thickBot="1">
      <c r="A19" s="293"/>
      <c r="B19" s="294" t="s">
        <v>47</v>
      </c>
      <c r="C19" s="295">
        <f>SUM(C20:C27)</f>
        <v>173575</v>
      </c>
      <c r="D19" s="295">
        <f aca="true" t="shared" si="5" ref="D19:N19">SUM(D20:D27)</f>
        <v>200</v>
      </c>
      <c r="E19" s="295">
        <f t="shared" si="5"/>
        <v>730</v>
      </c>
      <c r="F19" s="295">
        <f t="shared" si="5"/>
        <v>0</v>
      </c>
      <c r="G19" s="295">
        <f t="shared" si="5"/>
        <v>5470</v>
      </c>
      <c r="H19" s="295">
        <f t="shared" si="5"/>
        <v>6820</v>
      </c>
      <c r="I19" s="295">
        <f t="shared" si="5"/>
        <v>100</v>
      </c>
      <c r="J19" s="295">
        <f t="shared" si="5"/>
        <v>43534</v>
      </c>
      <c r="K19" s="295">
        <f t="shared" si="5"/>
        <v>60</v>
      </c>
      <c r="L19" s="295">
        <f t="shared" si="5"/>
        <v>67462</v>
      </c>
      <c r="M19" s="295">
        <f t="shared" si="5"/>
        <v>300</v>
      </c>
      <c r="N19" s="295">
        <f t="shared" si="5"/>
        <v>170</v>
      </c>
      <c r="O19" s="297">
        <f t="shared" si="2"/>
        <v>298421</v>
      </c>
    </row>
    <row r="20" spans="1:15" ht="15">
      <c r="A20" s="322" t="s">
        <v>468</v>
      </c>
      <c r="B20" s="323" t="s">
        <v>469</v>
      </c>
      <c r="C20" s="324">
        <v>60000</v>
      </c>
      <c r="D20" s="264"/>
      <c r="E20" s="264"/>
      <c r="F20" s="262"/>
      <c r="G20" s="264"/>
      <c r="H20" s="262"/>
      <c r="I20" s="262"/>
      <c r="J20" s="262"/>
      <c r="K20" s="262"/>
      <c r="L20" s="262"/>
      <c r="M20" s="262"/>
      <c r="N20" s="262"/>
      <c r="O20" s="325">
        <f t="shared" si="2"/>
        <v>60000</v>
      </c>
    </row>
    <row r="21" spans="1:15" ht="30">
      <c r="A21" s="298" t="s">
        <v>165</v>
      </c>
      <c r="B21" s="299" t="s">
        <v>166</v>
      </c>
      <c r="C21" s="300"/>
      <c r="D21" s="300"/>
      <c r="E21" s="300"/>
      <c r="F21" s="249"/>
      <c r="G21" s="300"/>
      <c r="H21" s="300"/>
      <c r="I21" s="300"/>
      <c r="J21" s="300">
        <v>120</v>
      </c>
      <c r="K21" s="300"/>
      <c r="L21" s="300"/>
      <c r="M21" s="300"/>
      <c r="N21" s="249"/>
      <c r="O21" s="301">
        <f t="shared" si="2"/>
        <v>120</v>
      </c>
    </row>
    <row r="22" spans="1:15" ht="15">
      <c r="A22" s="298" t="s">
        <v>628</v>
      </c>
      <c r="B22" s="299" t="s">
        <v>629</v>
      </c>
      <c r="C22" s="300"/>
      <c r="D22" s="300"/>
      <c r="E22" s="300"/>
      <c r="F22" s="249"/>
      <c r="G22" s="300"/>
      <c r="H22" s="300"/>
      <c r="I22" s="300"/>
      <c r="J22" s="300"/>
      <c r="K22" s="300"/>
      <c r="L22" s="326"/>
      <c r="M22" s="300"/>
      <c r="N22" s="327"/>
      <c r="O22" s="301">
        <f t="shared" si="2"/>
        <v>0</v>
      </c>
    </row>
    <row r="23" spans="1:15" ht="30">
      <c r="A23" s="304" t="s">
        <v>48</v>
      </c>
      <c r="B23" s="245" t="s">
        <v>49</v>
      </c>
      <c r="C23" s="214">
        <v>9000</v>
      </c>
      <c r="D23" s="214">
        <v>200</v>
      </c>
      <c r="E23" s="214"/>
      <c r="F23" s="303"/>
      <c r="G23" s="214"/>
      <c r="H23" s="214">
        <v>200</v>
      </c>
      <c r="I23" s="214">
        <v>100</v>
      </c>
      <c r="J23" s="214">
        <v>2200</v>
      </c>
      <c r="K23" s="214">
        <v>20</v>
      </c>
      <c r="L23" s="305">
        <v>50</v>
      </c>
      <c r="M23" s="214"/>
      <c r="N23" s="309">
        <v>100</v>
      </c>
      <c r="O23" s="301">
        <f t="shared" si="2"/>
        <v>11870</v>
      </c>
    </row>
    <row r="24" spans="1:15" ht="15">
      <c r="A24" s="304" t="s">
        <v>30</v>
      </c>
      <c r="B24" s="245" t="s">
        <v>29</v>
      </c>
      <c r="C24" s="214">
        <v>18000</v>
      </c>
      <c r="D24" s="214"/>
      <c r="E24" s="214"/>
      <c r="F24" s="303"/>
      <c r="G24" s="214">
        <v>1300</v>
      </c>
      <c r="H24" s="214">
        <v>120</v>
      </c>
      <c r="I24" s="214"/>
      <c r="J24" s="214">
        <v>1258</v>
      </c>
      <c r="K24" s="214">
        <v>40</v>
      </c>
      <c r="L24" s="305">
        <v>62</v>
      </c>
      <c r="M24" s="214">
        <v>100</v>
      </c>
      <c r="N24" s="309">
        <v>70</v>
      </c>
      <c r="O24" s="301">
        <f t="shared" si="2"/>
        <v>20950</v>
      </c>
    </row>
    <row r="25" spans="1:15" ht="15">
      <c r="A25" s="304" t="s">
        <v>167</v>
      </c>
      <c r="B25" s="245" t="s">
        <v>168</v>
      </c>
      <c r="C25" s="214">
        <v>30000</v>
      </c>
      <c r="D25" s="214"/>
      <c r="E25" s="214"/>
      <c r="F25" s="303"/>
      <c r="G25" s="214">
        <v>500</v>
      </c>
      <c r="H25" s="214"/>
      <c r="I25" s="214"/>
      <c r="J25" s="214">
        <v>700</v>
      </c>
      <c r="K25" s="214"/>
      <c r="L25" s="214"/>
      <c r="M25" s="214"/>
      <c r="N25" s="303"/>
      <c r="O25" s="301">
        <f t="shared" si="2"/>
        <v>31200</v>
      </c>
    </row>
    <row r="26" spans="1:15" ht="15">
      <c r="A26" s="304" t="s">
        <v>630</v>
      </c>
      <c r="B26" s="245" t="s">
        <v>50</v>
      </c>
      <c r="C26" s="214">
        <f>420000-393425</f>
        <v>26575</v>
      </c>
      <c r="D26" s="214"/>
      <c r="E26" s="214"/>
      <c r="F26" s="303"/>
      <c r="G26" s="214"/>
      <c r="H26" s="214"/>
      <c r="I26" s="214"/>
      <c r="J26" s="214"/>
      <c r="K26" s="214"/>
      <c r="L26" s="214"/>
      <c r="M26" s="214">
        <v>200</v>
      </c>
      <c r="N26" s="303"/>
      <c r="O26" s="301">
        <f t="shared" si="2"/>
        <v>26775</v>
      </c>
    </row>
    <row r="27" spans="1:15" ht="27.75" customHeight="1">
      <c r="A27" s="304" t="s">
        <v>153</v>
      </c>
      <c r="B27" s="245" t="s">
        <v>331</v>
      </c>
      <c r="C27" s="164">
        <v>30000</v>
      </c>
      <c r="D27" s="214"/>
      <c r="E27" s="214">
        <v>730</v>
      </c>
      <c r="F27" s="214"/>
      <c r="G27" s="214">
        <v>3670</v>
      </c>
      <c r="H27" s="307">
        <v>6500</v>
      </c>
      <c r="I27" s="303"/>
      <c r="J27" s="214">
        <v>39256</v>
      </c>
      <c r="K27" s="303"/>
      <c r="L27" s="214">
        <v>67350</v>
      </c>
      <c r="M27" s="303"/>
      <c r="N27" s="303"/>
      <c r="O27" s="301">
        <f t="shared" si="2"/>
        <v>147506</v>
      </c>
    </row>
    <row r="28" spans="1:15" ht="58.5" thickBot="1">
      <c r="A28" s="328" t="s">
        <v>339</v>
      </c>
      <c r="B28" s="329" t="s">
        <v>338</v>
      </c>
      <c r="C28" s="330">
        <f>34958+10100</f>
        <v>45058</v>
      </c>
      <c r="D28" s="330"/>
      <c r="E28" s="330"/>
      <c r="F28" s="331"/>
      <c r="G28" s="330"/>
      <c r="H28" s="331"/>
      <c r="I28" s="331"/>
      <c r="J28" s="330"/>
      <c r="K28" s="331"/>
      <c r="L28" s="330"/>
      <c r="M28" s="331"/>
      <c r="N28" s="331"/>
      <c r="O28" s="301">
        <f t="shared" si="2"/>
        <v>45058</v>
      </c>
    </row>
    <row r="29" spans="1:15" ht="15.75" thickBot="1">
      <c r="A29" s="332" t="s">
        <v>51</v>
      </c>
      <c r="B29" s="294" t="s">
        <v>52</v>
      </c>
      <c r="C29" s="295">
        <f aca="true" t="shared" si="6" ref="C29:N29">SUM(C30:C30)</f>
        <v>19839918</v>
      </c>
      <c r="D29" s="295">
        <f t="shared" si="6"/>
        <v>0</v>
      </c>
      <c r="E29" s="295">
        <f t="shared" si="6"/>
        <v>0</v>
      </c>
      <c r="F29" s="296">
        <f t="shared" si="6"/>
        <v>0</v>
      </c>
      <c r="G29" s="295">
        <f t="shared" si="6"/>
        <v>0</v>
      </c>
      <c r="H29" s="295">
        <f t="shared" si="6"/>
        <v>0</v>
      </c>
      <c r="I29" s="295">
        <f t="shared" si="6"/>
        <v>0</v>
      </c>
      <c r="J29" s="295">
        <f t="shared" si="6"/>
        <v>79469</v>
      </c>
      <c r="K29" s="295">
        <f t="shared" si="6"/>
        <v>0</v>
      </c>
      <c r="L29" s="295">
        <f t="shared" si="6"/>
        <v>8348</v>
      </c>
      <c r="M29" s="295">
        <f t="shared" si="6"/>
        <v>200</v>
      </c>
      <c r="N29" s="295">
        <f t="shared" si="6"/>
        <v>0</v>
      </c>
      <c r="O29" s="297">
        <f t="shared" si="2"/>
        <v>19927935</v>
      </c>
    </row>
    <row r="30" spans="1:15" ht="15.75" customHeight="1" thickBot="1">
      <c r="A30" s="333" t="s">
        <v>226</v>
      </c>
      <c r="B30" s="334" t="s">
        <v>232</v>
      </c>
      <c r="C30" s="300">
        <f>15570452+4269466</f>
        <v>19839918</v>
      </c>
      <c r="D30" s="300"/>
      <c r="E30" s="300"/>
      <c r="F30" s="249"/>
      <c r="G30" s="300"/>
      <c r="H30" s="249"/>
      <c r="I30" s="249"/>
      <c r="J30" s="249">
        <v>79469</v>
      </c>
      <c r="K30" s="249"/>
      <c r="L30" s="249">
        <v>8348</v>
      </c>
      <c r="M30" s="249">
        <v>200</v>
      </c>
      <c r="N30" s="249"/>
      <c r="O30" s="301">
        <f t="shared" si="2"/>
        <v>19927935</v>
      </c>
    </row>
    <row r="31" spans="1:15" ht="15.75" thickBot="1">
      <c r="A31" s="332" t="s">
        <v>53</v>
      </c>
      <c r="B31" s="294" t="s">
        <v>54</v>
      </c>
      <c r="C31" s="296">
        <f>SUM(C32:C34)</f>
        <v>744058</v>
      </c>
      <c r="D31" s="296">
        <f aca="true" t="shared" si="7" ref="D31:N31">SUM(D32:D34)</f>
        <v>0</v>
      </c>
      <c r="E31" s="296">
        <f t="shared" si="7"/>
        <v>0</v>
      </c>
      <c r="F31" s="296">
        <f t="shared" si="7"/>
        <v>0</v>
      </c>
      <c r="G31" s="295">
        <f t="shared" si="7"/>
        <v>0</v>
      </c>
      <c r="H31" s="295">
        <f t="shared" si="7"/>
        <v>0</v>
      </c>
      <c r="I31" s="295">
        <f t="shared" si="7"/>
        <v>0</v>
      </c>
      <c r="J31" s="295">
        <f t="shared" si="7"/>
        <v>80613</v>
      </c>
      <c r="K31" s="295">
        <f t="shared" si="7"/>
        <v>0</v>
      </c>
      <c r="L31" s="295">
        <f t="shared" si="7"/>
        <v>0</v>
      </c>
      <c r="M31" s="295">
        <f t="shared" si="7"/>
        <v>0</v>
      </c>
      <c r="N31" s="295">
        <f t="shared" si="7"/>
        <v>0</v>
      </c>
      <c r="O31" s="297">
        <f t="shared" si="2"/>
        <v>824671</v>
      </c>
    </row>
    <row r="32" spans="1:15" ht="30">
      <c r="A32" s="298" t="s">
        <v>170</v>
      </c>
      <c r="B32" s="299" t="s">
        <v>233</v>
      </c>
      <c r="C32" s="249"/>
      <c r="D32" s="249"/>
      <c r="E32" s="249"/>
      <c r="F32" s="249"/>
      <c r="G32" s="300"/>
      <c r="H32" s="249"/>
      <c r="I32" s="249"/>
      <c r="J32" s="249"/>
      <c r="K32" s="249"/>
      <c r="L32" s="249"/>
      <c r="M32" s="249"/>
      <c r="N32" s="249"/>
      <c r="O32" s="301">
        <f t="shared" si="2"/>
        <v>0</v>
      </c>
    </row>
    <row r="33" spans="1:15" ht="30">
      <c r="A33" s="304" t="s">
        <v>55</v>
      </c>
      <c r="B33" s="245" t="s">
        <v>234</v>
      </c>
      <c r="C33" s="303">
        <v>744058</v>
      </c>
      <c r="D33" s="303"/>
      <c r="E33" s="303"/>
      <c r="F33" s="303"/>
      <c r="G33" s="214"/>
      <c r="H33" s="303"/>
      <c r="I33" s="303"/>
      <c r="J33" s="303">
        <v>80613</v>
      </c>
      <c r="K33" s="303"/>
      <c r="L33" s="214"/>
      <c r="M33" s="303"/>
      <c r="N33" s="303"/>
      <c r="O33" s="301">
        <f t="shared" si="2"/>
        <v>824671</v>
      </c>
    </row>
    <row r="34" spans="1:15" ht="26.25" customHeight="1" thickBot="1">
      <c r="A34" s="317" t="s">
        <v>56</v>
      </c>
      <c r="B34" s="245" t="s">
        <v>405</v>
      </c>
      <c r="C34" s="316"/>
      <c r="D34" s="316"/>
      <c r="E34" s="316"/>
      <c r="F34" s="320"/>
      <c r="G34" s="315"/>
      <c r="H34" s="316"/>
      <c r="I34" s="319"/>
      <c r="J34" s="316"/>
      <c r="K34" s="320"/>
      <c r="L34" s="335"/>
      <c r="M34" s="336"/>
      <c r="N34" s="337"/>
      <c r="O34" s="321">
        <f t="shared" si="2"/>
        <v>0</v>
      </c>
    </row>
    <row r="35" spans="1:15" ht="15.75" thickBot="1">
      <c r="A35" s="332" t="s">
        <v>57</v>
      </c>
      <c r="B35" s="294" t="s">
        <v>58</v>
      </c>
      <c r="C35" s="296">
        <f>SUM(C36,C37,C44)</f>
        <v>515110</v>
      </c>
      <c r="D35" s="296">
        <f aca="true" t="shared" si="8" ref="D35:N35">SUM(D36,D37,D44)</f>
        <v>2197875</v>
      </c>
      <c r="E35" s="296">
        <f t="shared" si="8"/>
        <v>176840</v>
      </c>
      <c r="F35" s="296">
        <f t="shared" si="8"/>
        <v>251978</v>
      </c>
      <c r="G35" s="296">
        <f>SUM(G36,G37,G44)</f>
        <v>60410</v>
      </c>
      <c r="H35" s="296">
        <f t="shared" si="8"/>
        <v>99340</v>
      </c>
      <c r="I35" s="296">
        <f t="shared" si="8"/>
        <v>116832</v>
      </c>
      <c r="J35" s="296">
        <f t="shared" si="8"/>
        <v>652689</v>
      </c>
      <c r="K35" s="296">
        <f t="shared" si="8"/>
        <v>10382</v>
      </c>
      <c r="L35" s="296">
        <f t="shared" si="8"/>
        <v>16417</v>
      </c>
      <c r="M35" s="296">
        <f t="shared" si="8"/>
        <v>12700</v>
      </c>
      <c r="N35" s="296">
        <f t="shared" si="8"/>
        <v>43000</v>
      </c>
      <c r="O35" s="297">
        <f>SUM(C35:N35)</f>
        <v>4153573</v>
      </c>
    </row>
    <row r="36" spans="1:15" ht="31.5">
      <c r="A36" s="338" t="s">
        <v>206</v>
      </c>
      <c r="B36" s="562" t="s">
        <v>207</v>
      </c>
      <c r="C36" s="339">
        <f>97997+3776</f>
        <v>101773</v>
      </c>
      <c r="D36" s="300"/>
      <c r="E36" s="249"/>
      <c r="F36" s="249"/>
      <c r="G36" s="300"/>
      <c r="H36" s="300"/>
      <c r="I36" s="300"/>
      <c r="J36" s="300"/>
      <c r="K36" s="300"/>
      <c r="L36" s="300"/>
      <c r="M36" s="300"/>
      <c r="N36" s="249"/>
      <c r="O36" s="301">
        <f t="shared" si="2"/>
        <v>101773</v>
      </c>
    </row>
    <row r="37" spans="1:15" ht="43.5">
      <c r="A37" s="340" t="s">
        <v>59</v>
      </c>
      <c r="B37" s="341" t="s">
        <v>235</v>
      </c>
      <c r="C37" s="267">
        <f aca="true" t="shared" si="9" ref="C37:I37">SUM(C38:C43)</f>
        <v>413337</v>
      </c>
      <c r="D37" s="267">
        <f t="shared" si="9"/>
        <v>2182020</v>
      </c>
      <c r="E37" s="267">
        <f t="shared" si="9"/>
        <v>175589</v>
      </c>
      <c r="F37" s="267">
        <f t="shared" si="9"/>
        <v>251978</v>
      </c>
      <c r="G37" s="267">
        <f t="shared" si="9"/>
        <v>60410</v>
      </c>
      <c r="H37" s="342">
        <f t="shared" si="9"/>
        <v>98340</v>
      </c>
      <c r="I37" s="267">
        <f t="shared" si="9"/>
        <v>116832</v>
      </c>
      <c r="J37" s="267">
        <f>SUM(J38:J43)</f>
        <v>652689</v>
      </c>
      <c r="K37" s="267">
        <f>SUM(K38:K43)</f>
        <v>10382</v>
      </c>
      <c r="L37" s="267">
        <f>SUM(L38:L43)</f>
        <v>16417</v>
      </c>
      <c r="M37" s="267">
        <f>SUM(M38:M43)</f>
        <v>12700</v>
      </c>
      <c r="N37" s="342">
        <f>SUM(N38:N43)</f>
        <v>43000</v>
      </c>
      <c r="O37" s="301">
        <f>SUM(C37:N37)</f>
        <v>4033694</v>
      </c>
    </row>
    <row r="38" spans="1:15" ht="30">
      <c r="A38" s="302" t="s">
        <v>470</v>
      </c>
      <c r="B38" s="245" t="s">
        <v>631</v>
      </c>
      <c r="C38" s="343"/>
      <c r="D38" s="343"/>
      <c r="E38" s="342"/>
      <c r="F38" s="344"/>
      <c r="G38" s="267"/>
      <c r="H38" s="342"/>
      <c r="I38" s="267"/>
      <c r="J38" s="307">
        <v>170</v>
      </c>
      <c r="K38" s="267"/>
      <c r="L38" s="342"/>
      <c r="M38" s="267"/>
      <c r="N38" s="342"/>
      <c r="O38" s="301">
        <f t="shared" si="2"/>
        <v>170</v>
      </c>
    </row>
    <row r="39" spans="1:15" ht="15">
      <c r="A39" s="302" t="s">
        <v>171</v>
      </c>
      <c r="B39" s="245" t="s">
        <v>172</v>
      </c>
      <c r="C39" s="305">
        <v>183520</v>
      </c>
      <c r="D39" s="305"/>
      <c r="E39" s="307"/>
      <c r="F39" s="303"/>
      <c r="G39" s="214">
        <v>46513</v>
      </c>
      <c r="H39" s="267"/>
      <c r="I39" s="214">
        <v>12716</v>
      </c>
      <c r="J39" s="214">
        <v>70124</v>
      </c>
      <c r="K39" s="267"/>
      <c r="L39" s="267"/>
      <c r="M39" s="267"/>
      <c r="N39" s="344">
        <v>5000</v>
      </c>
      <c r="O39" s="301">
        <f t="shared" si="2"/>
        <v>317873</v>
      </c>
    </row>
    <row r="40" spans="1:15" ht="15">
      <c r="A40" s="302" t="s">
        <v>514</v>
      </c>
      <c r="B40" s="245" t="s">
        <v>406</v>
      </c>
      <c r="C40" s="214"/>
      <c r="D40" s="214"/>
      <c r="E40" s="214"/>
      <c r="F40" s="303"/>
      <c r="G40" s="214"/>
      <c r="H40" s="214"/>
      <c r="I40" s="214"/>
      <c r="J40" s="214"/>
      <c r="K40" s="214"/>
      <c r="L40" s="214"/>
      <c r="M40" s="214"/>
      <c r="N40" s="303"/>
      <c r="O40" s="301">
        <f t="shared" si="2"/>
        <v>0</v>
      </c>
    </row>
    <row r="41" spans="1:15" ht="30">
      <c r="A41" s="302" t="s">
        <v>173</v>
      </c>
      <c r="B41" s="245" t="s">
        <v>515</v>
      </c>
      <c r="C41" s="214"/>
      <c r="D41" s="214"/>
      <c r="E41" s="214"/>
      <c r="F41" s="303"/>
      <c r="G41" s="214"/>
      <c r="H41" s="214">
        <v>10</v>
      </c>
      <c r="I41" s="214"/>
      <c r="J41" s="214">
        <v>30</v>
      </c>
      <c r="K41" s="214"/>
      <c r="L41" s="214"/>
      <c r="M41" s="214"/>
      <c r="N41" s="303"/>
      <c r="O41" s="301">
        <f t="shared" si="2"/>
        <v>40</v>
      </c>
    </row>
    <row r="42" spans="1:15" ht="15">
      <c r="A42" s="302" t="s">
        <v>60</v>
      </c>
      <c r="B42" s="245" t="s">
        <v>61</v>
      </c>
      <c r="C42" s="214">
        <v>217117</v>
      </c>
      <c r="D42" s="214">
        <v>41028</v>
      </c>
      <c r="E42" s="214">
        <f>77944-23735</f>
        <v>54209</v>
      </c>
      <c r="F42" s="214">
        <v>16153</v>
      </c>
      <c r="G42" s="305">
        <v>4980</v>
      </c>
      <c r="H42" s="214">
        <v>10310</v>
      </c>
      <c r="I42" s="214">
        <v>6050</v>
      </c>
      <c r="J42" s="214">
        <v>21915</v>
      </c>
      <c r="K42" s="345">
        <v>2925</v>
      </c>
      <c r="L42" s="214">
        <v>3240</v>
      </c>
      <c r="M42" s="214">
        <f>3200+500</f>
        <v>3700</v>
      </c>
      <c r="N42" s="309">
        <v>6000</v>
      </c>
      <c r="O42" s="301">
        <f t="shared" si="2"/>
        <v>387627</v>
      </c>
    </row>
    <row r="43" spans="1:15" ht="30">
      <c r="A43" s="302" t="s">
        <v>62</v>
      </c>
      <c r="B43" s="245" t="s">
        <v>63</v>
      </c>
      <c r="C43" s="214">
        <f>26700-14000</f>
        <v>12700</v>
      </c>
      <c r="D43" s="214">
        <v>2140992</v>
      </c>
      <c r="E43" s="214">
        <f>207480-86100</f>
        <v>121380</v>
      </c>
      <c r="F43" s="214">
        <f>249557-13732</f>
        <v>235825</v>
      </c>
      <c r="G43" s="346">
        <v>8917</v>
      </c>
      <c r="H43" s="305">
        <v>88020</v>
      </c>
      <c r="I43" s="214">
        <f>91190+6876</f>
        <v>98066</v>
      </c>
      <c r="J43" s="305">
        <v>560450</v>
      </c>
      <c r="K43" s="345">
        <v>7457</v>
      </c>
      <c r="L43" s="305">
        <v>13177</v>
      </c>
      <c r="M43" s="214">
        <v>9000</v>
      </c>
      <c r="N43" s="309">
        <v>32000</v>
      </c>
      <c r="O43" s="301">
        <f>SUM(C43:N43)</f>
        <v>3327984</v>
      </c>
    </row>
    <row r="44" spans="1:15" ht="30" thickBot="1">
      <c r="A44" s="340" t="s">
        <v>364</v>
      </c>
      <c r="B44" s="341" t="s">
        <v>365</v>
      </c>
      <c r="C44" s="330"/>
      <c r="D44" s="330">
        <f>1000+14855</f>
        <v>15855</v>
      </c>
      <c r="E44" s="330">
        <v>1251</v>
      </c>
      <c r="F44" s="331"/>
      <c r="G44" s="347"/>
      <c r="H44" s="330">
        <v>1000</v>
      </c>
      <c r="I44" s="348"/>
      <c r="J44" s="348"/>
      <c r="K44" s="348"/>
      <c r="L44" s="348"/>
      <c r="M44" s="348"/>
      <c r="N44" s="348"/>
      <c r="O44" s="301">
        <f>SUM(C44:N44)</f>
        <v>18106</v>
      </c>
    </row>
    <row r="45" spans="1:15" ht="15.75" thickBot="1">
      <c r="A45" s="349"/>
      <c r="B45" s="350" t="s">
        <v>64</v>
      </c>
      <c r="C45" s="351">
        <f>SUM(C8+C19+C28+C29+C31+C35)</f>
        <v>46013266</v>
      </c>
      <c r="D45" s="351">
        <f>SUM(D8+D19+D28+D29+D31+D35)</f>
        <v>2198075</v>
      </c>
      <c r="E45" s="351">
        <f aca="true" t="shared" si="10" ref="E45:N45">SUM(E8+E19+E28+E29+E31+E35)</f>
        <v>177570</v>
      </c>
      <c r="F45" s="352">
        <f t="shared" si="10"/>
        <v>251978</v>
      </c>
      <c r="G45" s="351">
        <f t="shared" si="10"/>
        <v>175730</v>
      </c>
      <c r="H45" s="351">
        <f t="shared" si="10"/>
        <v>156300</v>
      </c>
      <c r="I45" s="351">
        <f t="shared" si="10"/>
        <v>161632</v>
      </c>
      <c r="J45" s="351">
        <f t="shared" si="10"/>
        <v>959253</v>
      </c>
      <c r="K45" s="351">
        <f t="shared" si="10"/>
        <v>65442</v>
      </c>
      <c r="L45" s="351">
        <f t="shared" si="10"/>
        <v>141239</v>
      </c>
      <c r="M45" s="351">
        <f t="shared" si="10"/>
        <v>61823</v>
      </c>
      <c r="N45" s="351">
        <f t="shared" si="10"/>
        <v>111342</v>
      </c>
      <c r="O45" s="297">
        <f>SUM(C45:N45)</f>
        <v>50473650</v>
      </c>
    </row>
    <row r="46" spans="1:15" ht="15">
      <c r="A46" s="563" t="s">
        <v>516</v>
      </c>
      <c r="B46" s="354" t="s">
        <v>65</v>
      </c>
      <c r="C46" s="353">
        <f>9743892+444502</f>
        <v>10188394</v>
      </c>
      <c r="D46" s="300"/>
      <c r="E46" s="300"/>
      <c r="F46" s="249"/>
      <c r="G46" s="300"/>
      <c r="H46" s="300"/>
      <c r="I46" s="300"/>
      <c r="J46" s="300"/>
      <c r="K46" s="300"/>
      <c r="L46" s="300"/>
      <c r="M46" s="249"/>
      <c r="N46" s="250"/>
      <c r="O46" s="426">
        <f t="shared" si="2"/>
        <v>10188394</v>
      </c>
    </row>
    <row r="47" spans="1:15" ht="15">
      <c r="A47" s="564"/>
      <c r="B47" s="356" t="s">
        <v>66</v>
      </c>
      <c r="C47" s="357">
        <f aca="true" t="shared" si="11" ref="C47:N47">SUM(C45:C46)</f>
        <v>56201660</v>
      </c>
      <c r="D47" s="355">
        <f t="shared" si="11"/>
        <v>2198075</v>
      </c>
      <c r="E47" s="355">
        <f t="shared" si="11"/>
        <v>177570</v>
      </c>
      <c r="F47" s="358">
        <f t="shared" si="11"/>
        <v>251978</v>
      </c>
      <c r="G47" s="355">
        <f t="shared" si="11"/>
        <v>175730</v>
      </c>
      <c r="H47" s="355">
        <f t="shared" si="11"/>
        <v>156300</v>
      </c>
      <c r="I47" s="355">
        <f t="shared" si="11"/>
        <v>161632</v>
      </c>
      <c r="J47" s="355">
        <f t="shared" si="11"/>
        <v>959253</v>
      </c>
      <c r="K47" s="355">
        <f t="shared" si="11"/>
        <v>65442</v>
      </c>
      <c r="L47" s="355">
        <f t="shared" si="11"/>
        <v>141239</v>
      </c>
      <c r="M47" s="358">
        <f t="shared" si="11"/>
        <v>61823</v>
      </c>
      <c r="N47" s="355">
        <f t="shared" si="11"/>
        <v>111342</v>
      </c>
      <c r="O47" s="565">
        <f t="shared" si="2"/>
        <v>60662044</v>
      </c>
    </row>
    <row r="48" spans="1:15" ht="18" customHeight="1">
      <c r="A48" s="566" t="s">
        <v>358</v>
      </c>
      <c r="B48" s="359" t="s">
        <v>632</v>
      </c>
      <c r="C48" s="361">
        <f>9780793</f>
        <v>9780793</v>
      </c>
      <c r="D48" s="214">
        <v>2073288</v>
      </c>
      <c r="E48" s="214">
        <v>127045</v>
      </c>
      <c r="F48" s="214">
        <v>77341</v>
      </c>
      <c r="G48" s="305">
        <v>282203</v>
      </c>
      <c r="H48" s="214">
        <v>50867</v>
      </c>
      <c r="I48" s="214">
        <v>174925</v>
      </c>
      <c r="J48" s="214">
        <f>293443+4128</f>
        <v>297571</v>
      </c>
      <c r="K48" s="345">
        <v>84426</v>
      </c>
      <c r="L48" s="214">
        <v>19232</v>
      </c>
      <c r="M48" s="214">
        <v>39166</v>
      </c>
      <c r="N48" s="214">
        <v>59889</v>
      </c>
      <c r="O48" s="565">
        <f t="shared" si="2"/>
        <v>13066746</v>
      </c>
    </row>
    <row r="49" spans="1:15" ht="15">
      <c r="A49" s="566" t="s">
        <v>208</v>
      </c>
      <c r="B49" s="261" t="s">
        <v>209</v>
      </c>
      <c r="C49" s="360"/>
      <c r="D49" s="214"/>
      <c r="E49" s="214"/>
      <c r="F49" s="303"/>
      <c r="G49" s="214"/>
      <c r="H49" s="214"/>
      <c r="I49" s="214"/>
      <c r="J49" s="214"/>
      <c r="K49" s="214"/>
      <c r="L49" s="214"/>
      <c r="M49" s="303"/>
      <c r="N49" s="214"/>
      <c r="O49" s="565">
        <f t="shared" si="2"/>
        <v>0</v>
      </c>
    </row>
    <row r="50" spans="1:15" ht="15.75" thickBot="1">
      <c r="A50" s="567"/>
      <c r="B50" s="568" t="s">
        <v>67</v>
      </c>
      <c r="C50" s="569">
        <f aca="true" t="shared" si="12" ref="C50:O50">SUM(C47:C48)</f>
        <v>65982453</v>
      </c>
      <c r="D50" s="569">
        <f t="shared" si="12"/>
        <v>4271363</v>
      </c>
      <c r="E50" s="569">
        <f t="shared" si="12"/>
        <v>304615</v>
      </c>
      <c r="F50" s="569">
        <f t="shared" si="12"/>
        <v>329319</v>
      </c>
      <c r="G50" s="569">
        <f t="shared" si="12"/>
        <v>457933</v>
      </c>
      <c r="H50" s="569">
        <f t="shared" si="12"/>
        <v>207167</v>
      </c>
      <c r="I50" s="569">
        <f t="shared" si="12"/>
        <v>336557</v>
      </c>
      <c r="J50" s="569">
        <f t="shared" si="12"/>
        <v>1256824</v>
      </c>
      <c r="K50" s="569">
        <f t="shared" si="12"/>
        <v>149868</v>
      </c>
      <c r="L50" s="569">
        <f t="shared" si="12"/>
        <v>160471</v>
      </c>
      <c r="M50" s="569">
        <f t="shared" si="12"/>
        <v>100989</v>
      </c>
      <c r="N50" s="569">
        <f t="shared" si="12"/>
        <v>171231</v>
      </c>
      <c r="O50" s="570">
        <f t="shared" si="12"/>
        <v>73728790</v>
      </c>
    </row>
    <row r="51" spans="1:15" ht="15">
      <c r="A51" s="439"/>
      <c r="B51" s="457"/>
      <c r="C51" s="458"/>
      <c r="D51" s="439"/>
      <c r="E51" s="439"/>
      <c r="F51" s="439"/>
      <c r="G51" s="441"/>
      <c r="H51" s="441"/>
      <c r="I51" s="441"/>
      <c r="J51" s="441"/>
      <c r="K51" s="441"/>
      <c r="L51" s="441"/>
      <c r="M51" s="441"/>
      <c r="N51" s="441"/>
      <c r="O51" s="441"/>
    </row>
    <row r="52" spans="1:15" ht="15">
      <c r="A52" s="439"/>
      <c r="B52" s="457"/>
      <c r="C52" s="459"/>
      <c r="D52" s="439"/>
      <c r="E52" s="439"/>
      <c r="F52" s="439"/>
      <c r="G52" s="441"/>
      <c r="H52" s="441"/>
      <c r="I52" s="441"/>
      <c r="J52" s="441"/>
      <c r="K52" s="441"/>
      <c r="L52" s="441"/>
      <c r="M52" s="441"/>
      <c r="N52" s="441"/>
      <c r="O52" s="441"/>
    </row>
    <row r="53" spans="1:15" ht="15">
      <c r="A53" s="260"/>
      <c r="B53" s="449" t="s">
        <v>355</v>
      </c>
      <c r="C53" s="260"/>
      <c r="D53" s="260" t="s">
        <v>36</v>
      </c>
      <c r="E53" s="260"/>
      <c r="F53" s="260"/>
      <c r="G53" s="260"/>
      <c r="H53" s="260"/>
      <c r="I53" s="260"/>
      <c r="J53" s="260"/>
      <c r="K53" s="260"/>
      <c r="L53" s="260"/>
      <c r="M53" s="260"/>
      <c r="N53" s="260"/>
      <c r="O53" s="440"/>
    </row>
    <row r="54" spans="1:15" ht="15">
      <c r="A54" s="260"/>
      <c r="C54" s="260"/>
      <c r="D54" s="260"/>
      <c r="E54" s="260"/>
      <c r="F54" s="260"/>
      <c r="G54" s="260"/>
      <c r="H54" s="260"/>
      <c r="I54" s="260"/>
      <c r="J54" s="260"/>
      <c r="K54" s="260"/>
      <c r="L54" s="260"/>
      <c r="M54" s="260"/>
      <c r="N54" s="260"/>
      <c r="O54" s="440"/>
    </row>
    <row r="55" spans="1:15" ht="15">
      <c r="A55" s="260"/>
      <c r="C55" s="260"/>
      <c r="D55" s="260"/>
      <c r="E55" s="260"/>
      <c r="F55" s="260"/>
      <c r="G55" s="260"/>
      <c r="H55" s="260"/>
      <c r="I55" s="260"/>
      <c r="J55" s="260"/>
      <c r="K55" s="260"/>
      <c r="L55" s="260"/>
      <c r="M55" s="260"/>
      <c r="N55" s="260"/>
      <c r="O55" s="440"/>
    </row>
    <row r="56" spans="1:15" ht="15">
      <c r="A56" s="439"/>
      <c r="B56" s="457"/>
      <c r="C56" s="260"/>
      <c r="D56" s="460"/>
      <c r="E56" s="461"/>
      <c r="F56" s="461"/>
      <c r="G56" s="260"/>
      <c r="H56" s="260"/>
      <c r="I56" s="260"/>
      <c r="J56" s="260"/>
      <c r="K56" s="260"/>
      <c r="L56" s="260"/>
      <c r="M56" s="260"/>
      <c r="N56" s="462" t="s">
        <v>68</v>
      </c>
      <c r="O56" s="440"/>
    </row>
    <row r="57" spans="1:15" ht="15">
      <c r="A57" s="439"/>
      <c r="B57" s="457"/>
      <c r="C57" s="260"/>
      <c r="D57" s="260"/>
      <c r="E57" s="463"/>
      <c r="F57" s="463"/>
      <c r="G57" s="260"/>
      <c r="H57" s="260"/>
      <c r="I57" s="260"/>
      <c r="J57" s="260"/>
      <c r="K57" s="260"/>
      <c r="L57" s="260"/>
      <c r="M57" s="260"/>
      <c r="N57" s="462" t="s">
        <v>605</v>
      </c>
      <c r="O57" s="440"/>
    </row>
    <row r="58" spans="1:15" ht="15">
      <c r="A58" s="464"/>
      <c r="B58" s="329"/>
      <c r="C58" s="260"/>
      <c r="D58" s="260"/>
      <c r="E58" s="463"/>
      <c r="F58" s="463"/>
      <c r="G58" s="260"/>
      <c r="H58" s="260"/>
      <c r="I58" s="260"/>
      <c r="J58" s="260"/>
      <c r="K58" s="260"/>
      <c r="L58" s="260"/>
      <c r="M58" s="260"/>
      <c r="N58" s="462" t="s">
        <v>998</v>
      </c>
      <c r="O58" s="440"/>
    </row>
    <row r="59" spans="1:15" ht="15">
      <c r="A59" s="464"/>
      <c r="B59" s="329"/>
      <c r="C59" s="260"/>
      <c r="D59" s="260"/>
      <c r="E59" s="463"/>
      <c r="F59" s="463"/>
      <c r="G59" s="260"/>
      <c r="H59" s="260"/>
      <c r="I59" s="260"/>
      <c r="J59" s="260"/>
      <c r="K59" s="260"/>
      <c r="L59" s="260"/>
      <c r="M59" s="260"/>
      <c r="N59" s="260"/>
      <c r="O59" s="440"/>
    </row>
    <row r="60" spans="1:15" ht="39.75" customHeight="1" thickBot="1">
      <c r="A60" s="585" t="s">
        <v>677</v>
      </c>
      <c r="B60" s="585"/>
      <c r="C60" s="585"/>
      <c r="D60" s="585"/>
      <c r="E60" s="260"/>
      <c r="F60" s="260"/>
      <c r="G60" s="260"/>
      <c r="H60" s="260"/>
      <c r="I60" s="260"/>
      <c r="J60" s="260"/>
      <c r="K60" s="260"/>
      <c r="L60" s="260"/>
      <c r="M60" s="260"/>
      <c r="N60" s="260"/>
      <c r="O60" s="440"/>
    </row>
    <row r="61" spans="1:15" ht="90.75" thickBot="1">
      <c r="A61" s="362" t="s">
        <v>23</v>
      </c>
      <c r="B61" s="363" t="s">
        <v>159</v>
      </c>
      <c r="C61" s="290" t="s">
        <v>614</v>
      </c>
      <c r="D61" s="364" t="s">
        <v>615</v>
      </c>
      <c r="E61" s="290" t="s">
        <v>616</v>
      </c>
      <c r="F61" s="290" t="s">
        <v>617</v>
      </c>
      <c r="G61" s="365" t="s">
        <v>618</v>
      </c>
      <c r="H61" s="365" t="s">
        <v>619</v>
      </c>
      <c r="I61" s="365" t="s">
        <v>620</v>
      </c>
      <c r="J61" s="365" t="s">
        <v>621</v>
      </c>
      <c r="K61" s="365" t="s">
        <v>622</v>
      </c>
      <c r="L61" s="365" t="s">
        <v>623</v>
      </c>
      <c r="M61" s="365" t="s">
        <v>624</v>
      </c>
      <c r="N61" s="366" t="s">
        <v>625</v>
      </c>
      <c r="O61" s="367" t="s">
        <v>626</v>
      </c>
    </row>
    <row r="62" spans="1:15" ht="15.75" thickBot="1">
      <c r="A62" s="368" t="s">
        <v>69</v>
      </c>
      <c r="B62" s="294" t="s">
        <v>70</v>
      </c>
      <c r="C62" s="296">
        <f>C63+C64+C65+C67+C68+C72</f>
        <v>4134491</v>
      </c>
      <c r="D62" s="296">
        <f aca="true" t="shared" si="13" ref="D62:N62">D63+D64+D65+D67+D68+D72</f>
        <v>0</v>
      </c>
      <c r="E62" s="296">
        <f t="shared" si="13"/>
        <v>0</v>
      </c>
      <c r="F62" s="296">
        <f t="shared" si="13"/>
        <v>0</v>
      </c>
      <c r="G62" s="296">
        <f t="shared" si="13"/>
        <v>151143</v>
      </c>
      <c r="H62" s="296">
        <f t="shared" si="13"/>
        <v>84751</v>
      </c>
      <c r="I62" s="296">
        <f t="shared" si="13"/>
        <v>118921</v>
      </c>
      <c r="J62" s="296">
        <f t="shared" si="13"/>
        <v>165317</v>
      </c>
      <c r="K62" s="296">
        <f t="shared" si="13"/>
        <v>110380</v>
      </c>
      <c r="L62" s="296">
        <f t="shared" si="13"/>
        <v>62561</v>
      </c>
      <c r="M62" s="296">
        <f t="shared" si="13"/>
        <v>67914</v>
      </c>
      <c r="N62" s="296">
        <f t="shared" si="13"/>
        <v>121989</v>
      </c>
      <c r="O62" s="297">
        <f>SUM(C62:N62)</f>
        <v>5017467</v>
      </c>
    </row>
    <row r="63" spans="1:15" ht="29.25">
      <c r="A63" s="369" t="s">
        <v>236</v>
      </c>
      <c r="B63" s="370" t="s">
        <v>237</v>
      </c>
      <c r="C63" s="371">
        <f>2848722+11513</f>
        <v>2860235</v>
      </c>
      <c r="D63" s="300"/>
      <c r="E63" s="300"/>
      <c r="F63" s="250"/>
      <c r="G63" s="268">
        <v>151091</v>
      </c>
      <c r="H63" s="372">
        <v>84571</v>
      </c>
      <c r="I63" s="268">
        <v>116464</v>
      </c>
      <c r="J63" s="372">
        <v>159050</v>
      </c>
      <c r="K63" s="268">
        <v>110380</v>
      </c>
      <c r="L63" s="268">
        <v>62501</v>
      </c>
      <c r="M63" s="268">
        <v>67614</v>
      </c>
      <c r="N63" s="373">
        <v>121429</v>
      </c>
      <c r="O63" s="374">
        <f>SUM(C63:N63)</f>
        <v>3733335</v>
      </c>
    </row>
    <row r="64" spans="1:15" ht="29.25">
      <c r="A64" s="375" t="s">
        <v>517</v>
      </c>
      <c r="B64" s="370" t="s">
        <v>945</v>
      </c>
      <c r="C64" s="371">
        <v>3160</v>
      </c>
      <c r="D64" s="249"/>
      <c r="E64" s="300"/>
      <c r="F64" s="249"/>
      <c r="G64" s="339"/>
      <c r="H64" s="339"/>
      <c r="I64" s="339"/>
      <c r="J64" s="373"/>
      <c r="K64" s="371"/>
      <c r="L64" s="371"/>
      <c r="M64" s="267"/>
      <c r="N64" s="373"/>
      <c r="O64" s="301">
        <f>SUM(C64:N64)</f>
        <v>3160</v>
      </c>
    </row>
    <row r="65" spans="1:15" ht="15">
      <c r="A65" s="376" t="s">
        <v>71</v>
      </c>
      <c r="B65" s="341" t="s">
        <v>72</v>
      </c>
      <c r="C65" s="344">
        <f>SUM(C66:C66)</f>
        <v>144787</v>
      </c>
      <c r="D65" s="344">
        <f>SUM(D66:D66)</f>
        <v>0</v>
      </c>
      <c r="E65" s="267"/>
      <c r="F65" s="344"/>
      <c r="G65" s="267">
        <f aca="true" t="shared" si="14" ref="G65:N65">SUM(G66:G66)</f>
        <v>52</v>
      </c>
      <c r="H65" s="267">
        <f t="shared" si="14"/>
        <v>180</v>
      </c>
      <c r="I65" s="267">
        <f t="shared" si="14"/>
        <v>350</v>
      </c>
      <c r="J65" s="344">
        <f t="shared" si="14"/>
        <v>152</v>
      </c>
      <c r="K65" s="344">
        <f t="shared" si="14"/>
        <v>0</v>
      </c>
      <c r="L65" s="344">
        <f t="shared" si="14"/>
        <v>60</v>
      </c>
      <c r="M65" s="344">
        <f t="shared" si="14"/>
        <v>300</v>
      </c>
      <c r="N65" s="344">
        <f t="shared" si="14"/>
        <v>560</v>
      </c>
      <c r="O65" s="377">
        <f aca="true" t="shared" si="15" ref="O65:O130">SUM(C65:N65)</f>
        <v>146441</v>
      </c>
    </row>
    <row r="66" spans="1:15" ht="30">
      <c r="A66" s="302" t="s">
        <v>73</v>
      </c>
      <c r="B66" s="245" t="s">
        <v>74</v>
      </c>
      <c r="C66" s="303">
        <v>144787</v>
      </c>
      <c r="D66" s="214"/>
      <c r="E66" s="214"/>
      <c r="F66" s="303"/>
      <c r="G66" s="214">
        <v>52</v>
      </c>
      <c r="H66" s="214">
        <v>180</v>
      </c>
      <c r="I66" s="214">
        <v>350</v>
      </c>
      <c r="J66" s="214">
        <v>152</v>
      </c>
      <c r="K66" s="214"/>
      <c r="L66" s="214">
        <v>60</v>
      </c>
      <c r="M66" s="214">
        <v>300</v>
      </c>
      <c r="N66" s="214">
        <v>560</v>
      </c>
      <c r="O66" s="377">
        <f t="shared" si="15"/>
        <v>146441</v>
      </c>
    </row>
    <row r="67" spans="1:15" ht="29.25">
      <c r="A67" s="376" t="s">
        <v>238</v>
      </c>
      <c r="B67" s="378" t="s">
        <v>239</v>
      </c>
      <c r="C67" s="303">
        <f>14800+86657</f>
        <v>101457</v>
      </c>
      <c r="D67" s="303"/>
      <c r="E67" s="214"/>
      <c r="F67" s="303"/>
      <c r="G67" s="214"/>
      <c r="H67" s="214"/>
      <c r="I67" s="214"/>
      <c r="J67" s="303"/>
      <c r="K67" s="303"/>
      <c r="L67" s="303"/>
      <c r="M67" s="303"/>
      <c r="N67" s="303"/>
      <c r="O67" s="377">
        <f t="shared" si="15"/>
        <v>101457</v>
      </c>
    </row>
    <row r="68" spans="1:15" ht="29.25">
      <c r="A68" s="376" t="s">
        <v>75</v>
      </c>
      <c r="B68" s="378" t="s">
        <v>76</v>
      </c>
      <c r="C68" s="344">
        <f>SUM(C69:C71)</f>
        <v>895950</v>
      </c>
      <c r="D68" s="344">
        <f aca="true" t="shared" si="16" ref="D68:N68">SUM(D69:D71)</f>
        <v>0</v>
      </c>
      <c r="E68" s="344">
        <f t="shared" si="16"/>
        <v>0</v>
      </c>
      <c r="F68" s="344">
        <f t="shared" si="16"/>
        <v>0</v>
      </c>
      <c r="G68" s="267">
        <f t="shared" si="16"/>
        <v>0</v>
      </c>
      <c r="H68" s="344">
        <f t="shared" si="16"/>
        <v>0</v>
      </c>
      <c r="I68" s="344">
        <f t="shared" si="16"/>
        <v>0</v>
      </c>
      <c r="J68" s="344">
        <f t="shared" si="16"/>
        <v>0</v>
      </c>
      <c r="K68" s="344">
        <f t="shared" si="16"/>
        <v>0</v>
      </c>
      <c r="L68" s="344">
        <f t="shared" si="16"/>
        <v>0</v>
      </c>
      <c r="M68" s="344">
        <f t="shared" si="16"/>
        <v>0</v>
      </c>
      <c r="N68" s="344">
        <f t="shared" si="16"/>
        <v>0</v>
      </c>
      <c r="O68" s="377">
        <f>SUM(C68:N68)</f>
        <v>895950</v>
      </c>
    </row>
    <row r="69" spans="1:15" ht="30">
      <c r="A69" s="379" t="s">
        <v>415</v>
      </c>
      <c r="B69" s="245" t="s">
        <v>77</v>
      </c>
      <c r="C69" s="303">
        <f>600000+444</f>
        <v>600444</v>
      </c>
      <c r="D69" s="214"/>
      <c r="E69" s="214"/>
      <c r="F69" s="303"/>
      <c r="G69" s="214"/>
      <c r="H69" s="214"/>
      <c r="I69" s="214"/>
      <c r="J69" s="214"/>
      <c r="K69" s="214"/>
      <c r="L69" s="214"/>
      <c r="M69" s="214"/>
      <c r="N69" s="303"/>
      <c r="O69" s="377">
        <f t="shared" si="15"/>
        <v>600444</v>
      </c>
    </row>
    <row r="70" spans="1:15" ht="30">
      <c r="A70" s="379" t="s">
        <v>416</v>
      </c>
      <c r="B70" s="245" t="s">
        <v>351</v>
      </c>
      <c r="C70" s="380">
        <v>145506</v>
      </c>
      <c r="D70" s="214"/>
      <c r="E70" s="214"/>
      <c r="F70" s="303"/>
      <c r="G70" s="214"/>
      <c r="H70" s="214">
        <f>17331-17331</f>
        <v>0</v>
      </c>
      <c r="I70" s="214"/>
      <c r="J70" s="214"/>
      <c r="K70" s="214"/>
      <c r="L70" s="214"/>
      <c r="M70" s="214"/>
      <c r="N70" s="303">
        <f>12000-12000</f>
        <v>0</v>
      </c>
      <c r="O70" s="377">
        <f t="shared" si="15"/>
        <v>145506</v>
      </c>
    </row>
    <row r="71" spans="1:15" ht="45">
      <c r="A71" s="379" t="s">
        <v>417</v>
      </c>
      <c r="B71" s="318" t="s">
        <v>518</v>
      </c>
      <c r="C71" s="320">
        <v>150000</v>
      </c>
      <c r="D71" s="316"/>
      <c r="E71" s="316"/>
      <c r="F71" s="320"/>
      <c r="G71" s="316"/>
      <c r="H71" s="316"/>
      <c r="I71" s="316"/>
      <c r="J71" s="316"/>
      <c r="K71" s="316"/>
      <c r="L71" s="316"/>
      <c r="M71" s="316"/>
      <c r="N71" s="320"/>
      <c r="O71" s="377">
        <f t="shared" si="15"/>
        <v>150000</v>
      </c>
    </row>
    <row r="72" spans="1:15" s="453" customFormat="1" ht="15" thickBot="1">
      <c r="A72" s="381" t="s">
        <v>78</v>
      </c>
      <c r="B72" s="382" t="s">
        <v>240</v>
      </c>
      <c r="C72" s="384">
        <f>615000-486098</f>
        <v>128902</v>
      </c>
      <c r="D72" s="385"/>
      <c r="E72" s="385"/>
      <c r="F72" s="383"/>
      <c r="G72" s="386"/>
      <c r="H72" s="385"/>
      <c r="I72" s="385">
        <v>2107</v>
      </c>
      <c r="J72" s="385">
        <v>6115</v>
      </c>
      <c r="K72" s="385"/>
      <c r="L72" s="385"/>
      <c r="M72" s="385"/>
      <c r="N72" s="383"/>
      <c r="O72" s="387">
        <f t="shared" si="15"/>
        <v>137124</v>
      </c>
    </row>
    <row r="73" spans="1:15" ht="15.75" thickBot="1">
      <c r="A73" s="332" t="s">
        <v>79</v>
      </c>
      <c r="B73" s="294" t="s">
        <v>80</v>
      </c>
      <c r="C73" s="296">
        <f>SUM(C74:C75,C77:C78)</f>
        <v>874819</v>
      </c>
      <c r="D73" s="296">
        <f aca="true" t="shared" si="17" ref="D73:N73">SUM(D74:D75,D77:D78)</f>
        <v>0</v>
      </c>
      <c r="E73" s="296">
        <f t="shared" si="17"/>
        <v>0</v>
      </c>
      <c r="F73" s="296">
        <f t="shared" si="17"/>
        <v>0</v>
      </c>
      <c r="G73" s="296">
        <f t="shared" si="17"/>
        <v>7382</v>
      </c>
      <c r="H73" s="296">
        <f t="shared" si="17"/>
        <v>0</v>
      </c>
      <c r="I73" s="296">
        <f t="shared" si="17"/>
        <v>0</v>
      </c>
      <c r="J73" s="296">
        <f t="shared" si="17"/>
        <v>5200</v>
      </c>
      <c r="K73" s="296">
        <f t="shared" si="17"/>
        <v>0</v>
      </c>
      <c r="L73" s="296">
        <f t="shared" si="17"/>
        <v>0</v>
      </c>
      <c r="M73" s="296">
        <f t="shared" si="17"/>
        <v>0</v>
      </c>
      <c r="N73" s="296">
        <f t="shared" si="17"/>
        <v>700</v>
      </c>
      <c r="O73" s="297">
        <f t="shared" si="15"/>
        <v>888101</v>
      </c>
    </row>
    <row r="74" spans="1:15" ht="15">
      <c r="A74" s="369" t="s">
        <v>241</v>
      </c>
      <c r="B74" s="370" t="s">
        <v>33</v>
      </c>
      <c r="C74" s="388">
        <f>594629-30000</f>
        <v>564629</v>
      </c>
      <c r="D74" s="300"/>
      <c r="E74" s="300"/>
      <c r="F74" s="249"/>
      <c r="G74" s="300"/>
      <c r="H74" s="300"/>
      <c r="I74" s="300"/>
      <c r="J74" s="300"/>
      <c r="K74" s="300"/>
      <c r="L74" s="300"/>
      <c r="M74" s="300"/>
      <c r="N74" s="249"/>
      <c r="O74" s="374">
        <f t="shared" si="15"/>
        <v>564629</v>
      </c>
    </row>
    <row r="75" spans="1:15" ht="29.25">
      <c r="A75" s="376" t="s">
        <v>322</v>
      </c>
      <c r="B75" s="389" t="s">
        <v>325</v>
      </c>
      <c r="C75" s="344">
        <f aca="true" t="shared" si="18" ref="C75:N75">SUM(C76:C76)</f>
        <v>213172</v>
      </c>
      <c r="D75" s="344">
        <f t="shared" si="18"/>
        <v>0</v>
      </c>
      <c r="E75" s="344">
        <f t="shared" si="18"/>
        <v>0</v>
      </c>
      <c r="F75" s="344">
        <f t="shared" si="18"/>
        <v>0</v>
      </c>
      <c r="G75" s="344">
        <f t="shared" si="18"/>
        <v>0</v>
      </c>
      <c r="H75" s="344">
        <f t="shared" si="18"/>
        <v>0</v>
      </c>
      <c r="I75" s="344">
        <f t="shared" si="18"/>
        <v>0</v>
      </c>
      <c r="J75" s="344">
        <f t="shared" si="18"/>
        <v>0</v>
      </c>
      <c r="K75" s="344">
        <f t="shared" si="18"/>
        <v>0</v>
      </c>
      <c r="L75" s="344">
        <f t="shared" si="18"/>
        <v>0</v>
      </c>
      <c r="M75" s="344">
        <f t="shared" si="18"/>
        <v>0</v>
      </c>
      <c r="N75" s="390">
        <f t="shared" si="18"/>
        <v>0</v>
      </c>
      <c r="O75" s="301">
        <f>SUM(C75:N75)</f>
        <v>213172</v>
      </c>
    </row>
    <row r="76" spans="1:15" ht="30">
      <c r="A76" s="411" t="s">
        <v>418</v>
      </c>
      <c r="B76" s="391" t="s">
        <v>916</v>
      </c>
      <c r="C76" s="392">
        <f>1725+211447</f>
        <v>213172</v>
      </c>
      <c r="D76" s="330"/>
      <c r="E76" s="330"/>
      <c r="F76" s="331"/>
      <c r="G76" s="330"/>
      <c r="H76" s="330"/>
      <c r="I76" s="330"/>
      <c r="J76" s="330"/>
      <c r="K76" s="330"/>
      <c r="L76" s="330"/>
      <c r="M76" s="330"/>
      <c r="N76" s="331"/>
      <c r="O76" s="377">
        <f t="shared" si="15"/>
        <v>213172</v>
      </c>
    </row>
    <row r="77" spans="1:15" s="453" customFormat="1" ht="28.5">
      <c r="A77" s="376" t="s">
        <v>81</v>
      </c>
      <c r="B77" s="341" t="s">
        <v>242</v>
      </c>
      <c r="C77" s="267">
        <v>35018</v>
      </c>
      <c r="D77" s="267"/>
      <c r="E77" s="267"/>
      <c r="F77" s="344"/>
      <c r="G77" s="267">
        <v>7382</v>
      </c>
      <c r="H77" s="267"/>
      <c r="I77" s="267"/>
      <c r="J77" s="267">
        <v>5200</v>
      </c>
      <c r="K77" s="267"/>
      <c r="L77" s="267"/>
      <c r="M77" s="267"/>
      <c r="N77" s="390">
        <v>700</v>
      </c>
      <c r="O77" s="377">
        <f t="shared" si="15"/>
        <v>48300</v>
      </c>
    </row>
    <row r="78" spans="1:15" s="453" customFormat="1" ht="15" thickBot="1">
      <c r="A78" s="405" t="s">
        <v>471</v>
      </c>
      <c r="B78" s="393" t="s">
        <v>472</v>
      </c>
      <c r="C78" s="394">
        <v>62000</v>
      </c>
      <c r="D78" s="394"/>
      <c r="E78" s="394"/>
      <c r="F78" s="394"/>
      <c r="G78" s="394"/>
      <c r="H78" s="394"/>
      <c r="I78" s="394"/>
      <c r="J78" s="394"/>
      <c r="K78" s="394"/>
      <c r="L78" s="394"/>
      <c r="M78" s="394"/>
      <c r="N78" s="394"/>
      <c r="O78" s="377">
        <f t="shared" si="15"/>
        <v>62000</v>
      </c>
    </row>
    <row r="79" spans="1:15" ht="15.75" thickBot="1">
      <c r="A79" s="332" t="s">
        <v>9</v>
      </c>
      <c r="B79" s="294" t="s">
        <v>82</v>
      </c>
      <c r="C79" s="296">
        <f aca="true" t="shared" si="19" ref="C79:N79">SUM(C80,C87,C91:C93,C112,C114)</f>
        <v>13990379</v>
      </c>
      <c r="D79" s="296">
        <f t="shared" si="19"/>
        <v>205980</v>
      </c>
      <c r="E79" s="296">
        <f t="shared" si="19"/>
        <v>0</v>
      </c>
      <c r="F79" s="296">
        <f t="shared" si="19"/>
        <v>0</v>
      </c>
      <c r="G79" s="296">
        <f t="shared" si="19"/>
        <v>169338</v>
      </c>
      <c r="H79" s="296">
        <f t="shared" si="19"/>
        <v>66288</v>
      </c>
      <c r="I79" s="296">
        <f t="shared" si="19"/>
        <v>132529</v>
      </c>
      <c r="J79" s="296">
        <f t="shared" si="19"/>
        <v>127607</v>
      </c>
      <c r="K79" s="296">
        <f t="shared" si="19"/>
        <v>43866</v>
      </c>
      <c r="L79" s="296">
        <f t="shared" si="19"/>
        <v>53069</v>
      </c>
      <c r="M79" s="296">
        <f t="shared" si="19"/>
        <v>36916</v>
      </c>
      <c r="N79" s="296">
        <f t="shared" si="19"/>
        <v>50896</v>
      </c>
      <c r="O79" s="297">
        <f>SUM(C79:N79)</f>
        <v>14876868</v>
      </c>
    </row>
    <row r="80" spans="1:15" ht="15">
      <c r="A80" s="369" t="s">
        <v>83</v>
      </c>
      <c r="B80" s="339" t="s">
        <v>84</v>
      </c>
      <c r="C80" s="371">
        <f aca="true" t="shared" si="20" ref="C80:N80">SUM(C81:C86)</f>
        <v>5243988</v>
      </c>
      <c r="D80" s="371">
        <f t="shared" si="20"/>
        <v>0</v>
      </c>
      <c r="E80" s="371">
        <f t="shared" si="20"/>
        <v>0</v>
      </c>
      <c r="F80" s="371">
        <f t="shared" si="20"/>
        <v>0</v>
      </c>
      <c r="G80" s="339">
        <f t="shared" si="20"/>
        <v>0</v>
      </c>
      <c r="H80" s="371">
        <f t="shared" si="20"/>
        <v>0</v>
      </c>
      <c r="I80" s="371">
        <f t="shared" si="20"/>
        <v>0</v>
      </c>
      <c r="J80" s="371">
        <f t="shared" si="20"/>
        <v>0</v>
      </c>
      <c r="K80" s="371">
        <f t="shared" si="20"/>
        <v>0</v>
      </c>
      <c r="L80" s="371">
        <f t="shared" si="20"/>
        <v>0</v>
      </c>
      <c r="M80" s="371">
        <f t="shared" si="20"/>
        <v>0</v>
      </c>
      <c r="N80" s="371">
        <f t="shared" si="20"/>
        <v>0</v>
      </c>
      <c r="O80" s="374">
        <f aca="true" t="shared" si="21" ref="O80:O90">SUM(C80:N80)</f>
        <v>5243988</v>
      </c>
    </row>
    <row r="81" spans="1:15" ht="15">
      <c r="A81" s="395" t="s">
        <v>243</v>
      </c>
      <c r="B81" s="300" t="s">
        <v>244</v>
      </c>
      <c r="C81" s="388">
        <f>15000-645</f>
        <v>14355</v>
      </c>
      <c r="D81" s="300"/>
      <c r="E81" s="300"/>
      <c r="F81" s="249"/>
      <c r="G81" s="300"/>
      <c r="H81" s="300"/>
      <c r="I81" s="300"/>
      <c r="J81" s="300"/>
      <c r="K81" s="300"/>
      <c r="L81" s="300"/>
      <c r="M81" s="300"/>
      <c r="N81" s="249"/>
      <c r="O81" s="396">
        <f t="shared" si="21"/>
        <v>14355</v>
      </c>
    </row>
    <row r="82" spans="1:15" ht="30">
      <c r="A82" s="395" t="s">
        <v>419</v>
      </c>
      <c r="B82" s="284" t="s">
        <v>519</v>
      </c>
      <c r="C82" s="249">
        <f>69650</f>
        <v>69650</v>
      </c>
      <c r="D82" s="300"/>
      <c r="E82" s="300"/>
      <c r="F82" s="249"/>
      <c r="G82" s="300"/>
      <c r="H82" s="300"/>
      <c r="I82" s="300"/>
      <c r="J82" s="300"/>
      <c r="K82" s="300"/>
      <c r="L82" s="300"/>
      <c r="M82" s="300"/>
      <c r="N82" s="249"/>
      <c r="O82" s="397">
        <f t="shared" si="21"/>
        <v>69650</v>
      </c>
    </row>
    <row r="83" spans="1:15" ht="15">
      <c r="A83" s="395" t="s">
        <v>420</v>
      </c>
      <c r="B83" s="398" t="s">
        <v>403</v>
      </c>
      <c r="C83" s="388">
        <v>5000</v>
      </c>
      <c r="D83" s="300"/>
      <c r="E83" s="300"/>
      <c r="F83" s="249"/>
      <c r="G83" s="300"/>
      <c r="H83" s="300"/>
      <c r="I83" s="300"/>
      <c r="J83" s="300"/>
      <c r="K83" s="300"/>
      <c r="L83" s="300"/>
      <c r="M83" s="300"/>
      <c r="N83" s="249"/>
      <c r="O83" s="397">
        <f t="shared" si="21"/>
        <v>5000</v>
      </c>
    </row>
    <row r="84" spans="1:15" ht="30">
      <c r="A84" s="194" t="s">
        <v>366</v>
      </c>
      <c r="B84" s="78" t="s">
        <v>455</v>
      </c>
      <c r="C84" s="249">
        <f>4910782+5983</f>
        <v>4916765</v>
      </c>
      <c r="D84" s="300"/>
      <c r="E84" s="300"/>
      <c r="F84" s="249"/>
      <c r="G84" s="300"/>
      <c r="H84" s="300"/>
      <c r="I84" s="300"/>
      <c r="J84" s="300"/>
      <c r="K84" s="300"/>
      <c r="L84" s="300"/>
      <c r="M84" s="300"/>
      <c r="N84" s="249"/>
      <c r="O84" s="397">
        <f t="shared" si="21"/>
        <v>4916765</v>
      </c>
    </row>
    <row r="85" spans="1:15" ht="15">
      <c r="A85" s="194" t="s">
        <v>474</v>
      </c>
      <c r="B85" s="78" t="s">
        <v>475</v>
      </c>
      <c r="C85" s="249">
        <v>157388</v>
      </c>
      <c r="D85" s="300"/>
      <c r="E85" s="300"/>
      <c r="F85" s="249"/>
      <c r="G85" s="300"/>
      <c r="H85" s="300"/>
      <c r="I85" s="300"/>
      <c r="J85" s="300"/>
      <c r="K85" s="300"/>
      <c r="L85" s="300"/>
      <c r="M85" s="300"/>
      <c r="N85" s="249"/>
      <c r="O85" s="397">
        <f t="shared" si="21"/>
        <v>157388</v>
      </c>
    </row>
    <row r="86" spans="1:15" ht="15">
      <c r="A86" s="194" t="s">
        <v>520</v>
      </c>
      <c r="B86" s="193" t="s">
        <v>521</v>
      </c>
      <c r="C86" s="249">
        <v>80830</v>
      </c>
      <c r="D86" s="300"/>
      <c r="E86" s="300"/>
      <c r="F86" s="249"/>
      <c r="G86" s="300"/>
      <c r="H86" s="300"/>
      <c r="I86" s="300"/>
      <c r="J86" s="300"/>
      <c r="K86" s="300"/>
      <c r="L86" s="300"/>
      <c r="M86" s="300"/>
      <c r="N86" s="249"/>
      <c r="O86" s="397">
        <f t="shared" si="21"/>
        <v>80830</v>
      </c>
    </row>
    <row r="87" spans="1:15" ht="15">
      <c r="A87" s="376" t="s">
        <v>85</v>
      </c>
      <c r="B87" s="341" t="s">
        <v>245</v>
      </c>
      <c r="C87" s="344">
        <f>SUM(C88:C90)</f>
        <v>2284607</v>
      </c>
      <c r="D87" s="344">
        <f aca="true" t="shared" si="22" ref="D87:N87">SUM(D88:D90)</f>
        <v>0</v>
      </c>
      <c r="E87" s="344">
        <f t="shared" si="22"/>
        <v>0</v>
      </c>
      <c r="F87" s="344">
        <f t="shared" si="22"/>
        <v>0</v>
      </c>
      <c r="G87" s="344">
        <f t="shared" si="22"/>
        <v>0</v>
      </c>
      <c r="H87" s="344">
        <f t="shared" si="22"/>
        <v>0</v>
      </c>
      <c r="I87" s="344">
        <f t="shared" si="22"/>
        <v>0</v>
      </c>
      <c r="J87" s="344">
        <f t="shared" si="22"/>
        <v>0</v>
      </c>
      <c r="K87" s="344">
        <f t="shared" si="22"/>
        <v>0</v>
      </c>
      <c r="L87" s="344">
        <f t="shared" si="22"/>
        <v>0</v>
      </c>
      <c r="M87" s="344">
        <f t="shared" si="22"/>
        <v>230</v>
      </c>
      <c r="N87" s="344">
        <f t="shared" si="22"/>
        <v>0</v>
      </c>
      <c r="O87" s="377">
        <f>SUM(C87:N87)</f>
        <v>2284837</v>
      </c>
    </row>
    <row r="88" spans="1:15" ht="15">
      <c r="A88" s="395" t="s">
        <v>367</v>
      </c>
      <c r="B88" s="399" t="s">
        <v>633</v>
      </c>
      <c r="C88" s="371"/>
      <c r="D88" s="267"/>
      <c r="E88" s="267"/>
      <c r="F88" s="344"/>
      <c r="G88" s="214"/>
      <c r="H88" s="214"/>
      <c r="I88" s="214"/>
      <c r="J88" s="214"/>
      <c r="K88" s="214"/>
      <c r="L88" s="214"/>
      <c r="M88" s="214">
        <v>230</v>
      </c>
      <c r="N88" s="303"/>
      <c r="O88" s="397">
        <f t="shared" si="21"/>
        <v>230</v>
      </c>
    </row>
    <row r="89" spans="1:15" ht="47.25">
      <c r="A89" s="395" t="s">
        <v>522</v>
      </c>
      <c r="B89" s="195" t="s">
        <v>523</v>
      </c>
      <c r="C89" s="249">
        <v>107995</v>
      </c>
      <c r="D89" s="267"/>
      <c r="E89" s="267"/>
      <c r="F89" s="344"/>
      <c r="G89" s="214"/>
      <c r="H89" s="214"/>
      <c r="I89" s="214"/>
      <c r="J89" s="214"/>
      <c r="K89" s="214"/>
      <c r="L89" s="214"/>
      <c r="M89" s="214"/>
      <c r="N89" s="303"/>
      <c r="O89" s="397">
        <f t="shared" si="21"/>
        <v>107995</v>
      </c>
    </row>
    <row r="90" spans="1:15" ht="75">
      <c r="A90" s="395" t="s">
        <v>368</v>
      </c>
      <c r="B90" s="400" t="s">
        <v>634</v>
      </c>
      <c r="C90" s="249">
        <f>1916612+260000</f>
        <v>2176612</v>
      </c>
      <c r="D90" s="267"/>
      <c r="E90" s="267"/>
      <c r="F90" s="344"/>
      <c r="G90" s="214"/>
      <c r="H90" s="214"/>
      <c r="I90" s="214"/>
      <c r="J90" s="214"/>
      <c r="K90" s="214"/>
      <c r="L90" s="214"/>
      <c r="M90" s="214"/>
      <c r="N90" s="303"/>
      <c r="O90" s="397">
        <f t="shared" si="21"/>
        <v>2176612</v>
      </c>
    </row>
    <row r="91" spans="1:15" ht="15">
      <c r="A91" s="369" t="s">
        <v>86</v>
      </c>
      <c r="B91" s="370" t="s">
        <v>87</v>
      </c>
      <c r="C91" s="371"/>
      <c r="D91" s="214"/>
      <c r="E91" s="214"/>
      <c r="F91" s="303"/>
      <c r="G91" s="214"/>
      <c r="H91" s="214"/>
      <c r="I91" s="214"/>
      <c r="J91" s="214"/>
      <c r="K91" s="214">
        <v>500</v>
      </c>
      <c r="L91" s="214"/>
      <c r="M91" s="214"/>
      <c r="N91" s="303"/>
      <c r="O91" s="377">
        <f t="shared" si="15"/>
        <v>500</v>
      </c>
    </row>
    <row r="92" spans="1:15" ht="15">
      <c r="A92" s="369" t="s">
        <v>421</v>
      </c>
      <c r="B92" s="370" t="s">
        <v>174</v>
      </c>
      <c r="C92" s="371">
        <v>305742</v>
      </c>
      <c r="D92" s="303"/>
      <c r="E92" s="214"/>
      <c r="F92" s="303"/>
      <c r="G92" s="214"/>
      <c r="H92" s="214"/>
      <c r="I92" s="214"/>
      <c r="J92" s="214">
        <v>464</v>
      </c>
      <c r="K92" s="303"/>
      <c r="L92" s="303"/>
      <c r="M92" s="303"/>
      <c r="N92" s="303"/>
      <c r="O92" s="377">
        <f t="shared" si="15"/>
        <v>306206</v>
      </c>
    </row>
    <row r="93" spans="1:15" ht="15">
      <c r="A93" s="376" t="s">
        <v>88</v>
      </c>
      <c r="B93" s="341" t="s">
        <v>89</v>
      </c>
      <c r="C93" s="344">
        <f aca="true" t="shared" si="23" ref="C93:N93">SUM(C94:C111)</f>
        <v>5989590</v>
      </c>
      <c r="D93" s="344">
        <f t="shared" si="23"/>
        <v>205980</v>
      </c>
      <c r="E93" s="344">
        <f t="shared" si="23"/>
        <v>0</v>
      </c>
      <c r="F93" s="344">
        <f t="shared" si="23"/>
        <v>0</v>
      </c>
      <c r="G93" s="344">
        <f t="shared" si="23"/>
        <v>169338</v>
      </c>
      <c r="H93" s="344">
        <f t="shared" si="23"/>
        <v>66288</v>
      </c>
      <c r="I93" s="344">
        <f t="shared" si="23"/>
        <v>132529</v>
      </c>
      <c r="J93" s="344">
        <f t="shared" si="23"/>
        <v>127143</v>
      </c>
      <c r="K93" s="344">
        <f t="shared" si="23"/>
        <v>43366</v>
      </c>
      <c r="L93" s="344">
        <f t="shared" si="23"/>
        <v>53069</v>
      </c>
      <c r="M93" s="344">
        <f t="shared" si="23"/>
        <v>36686</v>
      </c>
      <c r="N93" s="344">
        <f t="shared" si="23"/>
        <v>50896</v>
      </c>
      <c r="O93" s="377">
        <f t="shared" si="15"/>
        <v>6874885</v>
      </c>
    </row>
    <row r="94" spans="1:15" ht="15">
      <c r="A94" s="401" t="s">
        <v>454</v>
      </c>
      <c r="B94" s="245" t="s">
        <v>90</v>
      </c>
      <c r="C94" s="303">
        <f>1628921-18000-6568</f>
        <v>1604353</v>
      </c>
      <c r="D94" s="214"/>
      <c r="E94" s="214"/>
      <c r="F94" s="303"/>
      <c r="G94" s="214"/>
      <c r="H94" s="214">
        <v>31440</v>
      </c>
      <c r="I94" s="214">
        <v>119695</v>
      </c>
      <c r="J94" s="214"/>
      <c r="K94" s="214">
        <v>43366</v>
      </c>
      <c r="L94" s="214">
        <v>53069</v>
      </c>
      <c r="M94" s="214">
        <v>36686</v>
      </c>
      <c r="N94" s="303"/>
      <c r="O94" s="377">
        <f t="shared" si="15"/>
        <v>1888609</v>
      </c>
    </row>
    <row r="95" spans="1:15" ht="30">
      <c r="A95" s="302" t="s">
        <v>635</v>
      </c>
      <c r="B95" s="402" t="s">
        <v>860</v>
      </c>
      <c r="C95" s="303">
        <v>77500</v>
      </c>
      <c r="D95" s="214"/>
      <c r="E95" s="214"/>
      <c r="F95" s="303"/>
      <c r="G95" s="214"/>
      <c r="H95" s="214"/>
      <c r="I95" s="214"/>
      <c r="J95" s="214"/>
      <c r="K95" s="214"/>
      <c r="L95" s="214"/>
      <c r="M95" s="214"/>
      <c r="N95" s="307"/>
      <c r="O95" s="377">
        <f t="shared" si="15"/>
        <v>77500</v>
      </c>
    </row>
    <row r="96" spans="1:15" ht="30">
      <c r="A96" s="302" t="s">
        <v>636</v>
      </c>
      <c r="B96" s="105" t="s">
        <v>858</v>
      </c>
      <c r="C96" s="303">
        <f>87000+11700</f>
        <v>98700</v>
      </c>
      <c r="D96" s="214"/>
      <c r="E96" s="214"/>
      <c r="F96" s="303"/>
      <c r="G96" s="214"/>
      <c r="H96" s="214"/>
      <c r="I96" s="214"/>
      <c r="J96" s="214"/>
      <c r="K96" s="214"/>
      <c r="L96" s="214"/>
      <c r="M96" s="214"/>
      <c r="N96" s="307"/>
      <c r="O96" s="377">
        <f t="shared" si="15"/>
        <v>98700</v>
      </c>
    </row>
    <row r="97" spans="1:15" ht="15">
      <c r="A97" s="302" t="s">
        <v>246</v>
      </c>
      <c r="B97" s="403" t="s">
        <v>247</v>
      </c>
      <c r="C97" s="303"/>
      <c r="D97" s="214">
        <v>205980</v>
      </c>
      <c r="E97" s="214"/>
      <c r="F97" s="303"/>
      <c r="G97" s="214">
        <v>169338</v>
      </c>
      <c r="H97" s="214">
        <v>34848</v>
      </c>
      <c r="I97" s="214">
        <v>12834</v>
      </c>
      <c r="J97" s="214">
        <v>118527</v>
      </c>
      <c r="K97" s="214"/>
      <c r="L97" s="214"/>
      <c r="M97" s="214"/>
      <c r="N97" s="309">
        <v>50896</v>
      </c>
      <c r="O97" s="377">
        <f t="shared" si="15"/>
        <v>592423</v>
      </c>
    </row>
    <row r="98" spans="1:15" ht="15">
      <c r="A98" s="302" t="s">
        <v>842</v>
      </c>
      <c r="B98" s="403" t="s">
        <v>843</v>
      </c>
      <c r="C98" s="303">
        <v>162298</v>
      </c>
      <c r="D98" s="214"/>
      <c r="E98" s="214"/>
      <c r="F98" s="303"/>
      <c r="G98" s="214"/>
      <c r="H98" s="214"/>
      <c r="I98" s="214"/>
      <c r="J98" s="303"/>
      <c r="K98" s="303"/>
      <c r="L98" s="303"/>
      <c r="M98" s="303"/>
      <c r="N98" s="307"/>
      <c r="O98" s="377">
        <f t="shared" si="15"/>
        <v>162298</v>
      </c>
    </row>
    <row r="99" spans="1:15" ht="30">
      <c r="A99" s="302" t="s">
        <v>369</v>
      </c>
      <c r="B99" s="284" t="s">
        <v>637</v>
      </c>
      <c r="C99" s="303">
        <f>615820+5798</f>
        <v>621618</v>
      </c>
      <c r="D99" s="214"/>
      <c r="E99" s="214"/>
      <c r="F99" s="303"/>
      <c r="G99" s="214"/>
      <c r="H99" s="214"/>
      <c r="I99" s="214"/>
      <c r="J99" s="303"/>
      <c r="K99" s="303"/>
      <c r="L99" s="303"/>
      <c r="M99" s="303"/>
      <c r="N99" s="303"/>
      <c r="O99" s="377">
        <f t="shared" si="15"/>
        <v>621618</v>
      </c>
    </row>
    <row r="100" spans="1:15" ht="15.75">
      <c r="A100" s="192" t="s">
        <v>525</v>
      </c>
      <c r="B100" s="196" t="s">
        <v>526</v>
      </c>
      <c r="C100" s="303">
        <f>12000+152590</f>
        <v>164590</v>
      </c>
      <c r="D100" s="214"/>
      <c r="E100" s="214"/>
      <c r="F100" s="303"/>
      <c r="G100" s="214"/>
      <c r="H100" s="214"/>
      <c r="I100" s="214"/>
      <c r="J100" s="303"/>
      <c r="K100" s="303"/>
      <c r="L100" s="303"/>
      <c r="M100" s="303"/>
      <c r="N100" s="303"/>
      <c r="O100" s="377">
        <f t="shared" si="15"/>
        <v>164590</v>
      </c>
    </row>
    <row r="101" spans="1:15" ht="63">
      <c r="A101" s="192" t="s">
        <v>638</v>
      </c>
      <c r="B101" s="196" t="s">
        <v>920</v>
      </c>
      <c r="C101" s="303">
        <f>1007246-90645</f>
        <v>916601</v>
      </c>
      <c r="D101" s="214"/>
      <c r="E101" s="214"/>
      <c r="F101" s="303"/>
      <c r="G101" s="214"/>
      <c r="H101" s="214"/>
      <c r="I101" s="214"/>
      <c r="J101" s="303"/>
      <c r="K101" s="303"/>
      <c r="L101" s="303"/>
      <c r="M101" s="303"/>
      <c r="N101" s="303"/>
      <c r="O101" s="377">
        <f t="shared" si="15"/>
        <v>916601</v>
      </c>
    </row>
    <row r="102" spans="1:15" ht="15.75">
      <c r="A102" s="192" t="s">
        <v>639</v>
      </c>
      <c r="B102" s="196" t="s">
        <v>861</v>
      </c>
      <c r="C102" s="303">
        <f>305734+258907</f>
        <v>564641</v>
      </c>
      <c r="D102" s="214"/>
      <c r="E102" s="214"/>
      <c r="F102" s="303"/>
      <c r="G102" s="214"/>
      <c r="H102" s="214"/>
      <c r="I102" s="214"/>
      <c r="J102" s="303"/>
      <c r="K102" s="303"/>
      <c r="L102" s="303"/>
      <c r="M102" s="303"/>
      <c r="N102" s="303"/>
      <c r="O102" s="377">
        <f t="shared" si="15"/>
        <v>564641</v>
      </c>
    </row>
    <row r="103" spans="1:15" ht="47.25">
      <c r="A103" s="192" t="s">
        <v>640</v>
      </c>
      <c r="B103" s="195" t="s">
        <v>641</v>
      </c>
      <c r="C103" s="303">
        <v>578747</v>
      </c>
      <c r="D103" s="214"/>
      <c r="E103" s="214"/>
      <c r="F103" s="303"/>
      <c r="G103" s="214"/>
      <c r="H103" s="214"/>
      <c r="I103" s="214"/>
      <c r="J103" s="303"/>
      <c r="K103" s="303"/>
      <c r="L103" s="303"/>
      <c r="M103" s="303"/>
      <c r="N103" s="303"/>
      <c r="O103" s="377">
        <f t="shared" si="15"/>
        <v>578747</v>
      </c>
    </row>
    <row r="104" spans="1:15" ht="47.25">
      <c r="A104" s="192" t="s">
        <v>726</v>
      </c>
      <c r="B104" s="196" t="s">
        <v>727</v>
      </c>
      <c r="C104" s="303">
        <v>114446</v>
      </c>
      <c r="D104" s="214"/>
      <c r="E104" s="214"/>
      <c r="F104" s="303"/>
      <c r="G104" s="214"/>
      <c r="H104" s="214"/>
      <c r="I104" s="214"/>
      <c r="J104" s="303"/>
      <c r="K104" s="303"/>
      <c r="L104" s="303"/>
      <c r="M104" s="303"/>
      <c r="N104" s="303"/>
      <c r="O104" s="377">
        <f t="shared" si="15"/>
        <v>114446</v>
      </c>
    </row>
    <row r="105" spans="1:15" ht="15">
      <c r="A105" s="192" t="s">
        <v>844</v>
      </c>
      <c r="B105" s="544" t="s">
        <v>845</v>
      </c>
      <c r="C105" s="303">
        <v>273708</v>
      </c>
      <c r="D105" s="214"/>
      <c r="E105" s="214"/>
      <c r="F105" s="303"/>
      <c r="G105" s="214"/>
      <c r="H105" s="214"/>
      <c r="I105" s="214"/>
      <c r="J105" s="303"/>
      <c r="K105" s="303"/>
      <c r="L105" s="303"/>
      <c r="M105" s="303"/>
      <c r="N105" s="303"/>
      <c r="O105" s="377">
        <f t="shared" si="15"/>
        <v>273708</v>
      </c>
    </row>
    <row r="106" spans="1:15" ht="31.5">
      <c r="A106" s="192" t="s">
        <v>723</v>
      </c>
      <c r="B106" s="195" t="s">
        <v>724</v>
      </c>
      <c r="C106" s="303">
        <v>23693</v>
      </c>
      <c r="D106" s="214"/>
      <c r="E106" s="214"/>
      <c r="F106" s="303"/>
      <c r="G106" s="214"/>
      <c r="H106" s="214"/>
      <c r="I106" s="214"/>
      <c r="J106" s="303"/>
      <c r="K106" s="303"/>
      <c r="L106" s="303"/>
      <c r="M106" s="303"/>
      <c r="N106" s="303"/>
      <c r="O106" s="377">
        <f t="shared" si="15"/>
        <v>23693</v>
      </c>
    </row>
    <row r="107" spans="1:15" ht="15">
      <c r="A107" s="192" t="s">
        <v>846</v>
      </c>
      <c r="B107" s="544" t="s">
        <v>849</v>
      </c>
      <c r="C107" s="303">
        <v>272505</v>
      </c>
      <c r="D107" s="214"/>
      <c r="E107" s="214"/>
      <c r="F107" s="303"/>
      <c r="G107" s="214"/>
      <c r="H107" s="214"/>
      <c r="I107" s="214"/>
      <c r="J107" s="303"/>
      <c r="K107" s="303"/>
      <c r="L107" s="303"/>
      <c r="M107" s="303"/>
      <c r="N107" s="303"/>
      <c r="O107" s="377">
        <f t="shared" si="15"/>
        <v>272505</v>
      </c>
    </row>
    <row r="108" spans="1:15" ht="15">
      <c r="A108" s="192" t="s">
        <v>847</v>
      </c>
      <c r="B108" s="544" t="s">
        <v>850</v>
      </c>
      <c r="C108" s="303">
        <v>108421</v>
      </c>
      <c r="D108" s="214"/>
      <c r="E108" s="214"/>
      <c r="F108" s="303"/>
      <c r="G108" s="214"/>
      <c r="H108" s="214"/>
      <c r="I108" s="214"/>
      <c r="J108" s="303"/>
      <c r="K108" s="303"/>
      <c r="L108" s="303"/>
      <c r="M108" s="303"/>
      <c r="N108" s="303"/>
      <c r="O108" s="377">
        <f t="shared" si="15"/>
        <v>108421</v>
      </c>
    </row>
    <row r="109" spans="1:15" ht="45">
      <c r="A109" s="192" t="s">
        <v>848</v>
      </c>
      <c r="B109" s="544" t="s">
        <v>851</v>
      </c>
      <c r="C109" s="303">
        <v>323340</v>
      </c>
      <c r="D109" s="214"/>
      <c r="E109" s="214"/>
      <c r="F109" s="303"/>
      <c r="G109" s="214"/>
      <c r="H109" s="214"/>
      <c r="I109" s="214"/>
      <c r="J109" s="303"/>
      <c r="K109" s="303"/>
      <c r="L109" s="303"/>
      <c r="M109" s="303"/>
      <c r="N109" s="303"/>
      <c r="O109" s="377">
        <f t="shared" si="15"/>
        <v>323340</v>
      </c>
    </row>
    <row r="110" spans="1:15" ht="15">
      <c r="A110" s="192" t="s">
        <v>852</v>
      </c>
      <c r="B110" s="218" t="s">
        <v>853</v>
      </c>
      <c r="C110" s="303">
        <v>84429</v>
      </c>
      <c r="D110" s="214"/>
      <c r="E110" s="214"/>
      <c r="F110" s="303"/>
      <c r="G110" s="214"/>
      <c r="H110" s="214"/>
      <c r="I110" s="214"/>
      <c r="J110" s="303"/>
      <c r="K110" s="303"/>
      <c r="L110" s="303"/>
      <c r="M110" s="303"/>
      <c r="N110" s="303"/>
      <c r="O110" s="377">
        <f t="shared" si="15"/>
        <v>84429</v>
      </c>
    </row>
    <row r="111" spans="1:15" ht="15.75">
      <c r="A111" s="192" t="s">
        <v>896</v>
      </c>
      <c r="B111" s="538" t="s">
        <v>897</v>
      </c>
      <c r="C111" s="303"/>
      <c r="D111" s="214"/>
      <c r="E111" s="214"/>
      <c r="F111" s="303"/>
      <c r="G111" s="214"/>
      <c r="H111" s="214"/>
      <c r="I111" s="214"/>
      <c r="J111" s="303">
        <v>8616</v>
      </c>
      <c r="K111" s="303"/>
      <c r="L111" s="303"/>
      <c r="M111" s="303"/>
      <c r="N111" s="303"/>
      <c r="O111" s="377">
        <f t="shared" si="15"/>
        <v>8616</v>
      </c>
    </row>
    <row r="112" spans="1:15" ht="15">
      <c r="A112" s="376" t="s">
        <v>91</v>
      </c>
      <c r="B112" s="404" t="s">
        <v>92</v>
      </c>
      <c r="C112" s="344">
        <f>SUM(C113:C113)</f>
        <v>0</v>
      </c>
      <c r="D112" s="214"/>
      <c r="E112" s="214"/>
      <c r="F112" s="303"/>
      <c r="G112" s="267">
        <f aca="true" t="shared" si="24" ref="G112:N112">SUM(G113:G113)</f>
        <v>0</v>
      </c>
      <c r="H112" s="267">
        <f t="shared" si="24"/>
        <v>0</v>
      </c>
      <c r="I112" s="267">
        <f>SUM(I113:I113)</f>
        <v>0</v>
      </c>
      <c r="J112" s="344">
        <f t="shared" si="24"/>
        <v>0</v>
      </c>
      <c r="K112" s="344">
        <f t="shared" si="24"/>
        <v>0</v>
      </c>
      <c r="L112" s="344">
        <f t="shared" si="24"/>
        <v>0</v>
      </c>
      <c r="M112" s="344">
        <f t="shared" si="24"/>
        <v>0</v>
      </c>
      <c r="N112" s="344">
        <f t="shared" si="24"/>
        <v>0</v>
      </c>
      <c r="O112" s="377">
        <f t="shared" si="15"/>
        <v>0</v>
      </c>
    </row>
    <row r="113" spans="1:15" ht="15">
      <c r="A113" s="302" t="s">
        <v>248</v>
      </c>
      <c r="B113" s="245" t="s">
        <v>332</v>
      </c>
      <c r="C113" s="303"/>
      <c r="D113" s="214"/>
      <c r="E113" s="214"/>
      <c r="F113" s="303"/>
      <c r="G113" s="214"/>
      <c r="H113" s="214"/>
      <c r="I113" s="214"/>
      <c r="J113" s="214"/>
      <c r="K113" s="214"/>
      <c r="L113" s="214"/>
      <c r="M113" s="214"/>
      <c r="N113" s="303"/>
      <c r="O113" s="377">
        <f t="shared" si="15"/>
        <v>0</v>
      </c>
    </row>
    <row r="114" spans="1:15" ht="15.75" thickBot="1">
      <c r="A114" s="405" t="s">
        <v>495</v>
      </c>
      <c r="B114" s="393" t="s">
        <v>486</v>
      </c>
      <c r="C114" s="331">
        <f>152443+14009</f>
        <v>166452</v>
      </c>
      <c r="D114" s="331"/>
      <c r="E114" s="331"/>
      <c r="F114" s="331"/>
      <c r="G114" s="331"/>
      <c r="H114" s="331"/>
      <c r="I114" s="331"/>
      <c r="J114" s="331"/>
      <c r="K114" s="331"/>
      <c r="L114" s="331"/>
      <c r="M114" s="331"/>
      <c r="N114" s="331"/>
      <c r="O114" s="377">
        <f t="shared" si="15"/>
        <v>166452</v>
      </c>
    </row>
    <row r="115" spans="1:15" ht="15.75" thickBot="1">
      <c r="A115" s="332" t="s">
        <v>31</v>
      </c>
      <c r="B115" s="406" t="s">
        <v>93</v>
      </c>
      <c r="C115" s="296">
        <f aca="true" t="shared" si="25" ref="C115:N115">C116+C119+C122+C125</f>
        <v>6599589</v>
      </c>
      <c r="D115" s="296">
        <f t="shared" si="25"/>
        <v>562620</v>
      </c>
      <c r="E115" s="296">
        <f t="shared" si="25"/>
        <v>0</v>
      </c>
      <c r="F115" s="296">
        <f t="shared" si="25"/>
        <v>89273</v>
      </c>
      <c r="G115" s="296">
        <f t="shared" si="25"/>
        <v>11588</v>
      </c>
      <c r="H115" s="296">
        <f t="shared" si="25"/>
        <v>35546</v>
      </c>
      <c r="I115" s="296">
        <f t="shared" si="25"/>
        <v>34115</v>
      </c>
      <c r="J115" s="296">
        <f t="shared" si="25"/>
        <v>134503</v>
      </c>
      <c r="K115" s="296">
        <f t="shared" si="25"/>
        <v>29794</v>
      </c>
      <c r="L115" s="296">
        <f t="shared" si="25"/>
        <v>13805</v>
      </c>
      <c r="M115" s="296">
        <f t="shared" si="25"/>
        <v>0</v>
      </c>
      <c r="N115" s="296">
        <f t="shared" si="25"/>
        <v>24478</v>
      </c>
      <c r="O115" s="297">
        <f t="shared" si="15"/>
        <v>7535311</v>
      </c>
    </row>
    <row r="116" spans="1:15" ht="15">
      <c r="A116" s="369" t="s">
        <v>94</v>
      </c>
      <c r="B116" s="404" t="s">
        <v>95</v>
      </c>
      <c r="C116" s="371">
        <f>SUM(C117:C118)</f>
        <v>27373</v>
      </c>
      <c r="D116" s="371">
        <f aca="true" t="shared" si="26" ref="D116:N116">SUM(D117:D118)</f>
        <v>75755</v>
      </c>
      <c r="E116" s="371">
        <f t="shared" si="26"/>
        <v>0</v>
      </c>
      <c r="F116" s="371">
        <f t="shared" si="26"/>
        <v>35416</v>
      </c>
      <c r="G116" s="371">
        <f t="shared" si="26"/>
        <v>1600</v>
      </c>
      <c r="H116" s="371">
        <f t="shared" si="26"/>
        <v>12705</v>
      </c>
      <c r="I116" s="371">
        <f t="shared" si="26"/>
        <v>24926</v>
      </c>
      <c r="J116" s="371">
        <f t="shared" si="26"/>
        <v>44167</v>
      </c>
      <c r="K116" s="371">
        <f t="shared" si="26"/>
        <v>22080</v>
      </c>
      <c r="L116" s="371">
        <f t="shared" si="26"/>
        <v>6500</v>
      </c>
      <c r="M116" s="371">
        <f t="shared" si="26"/>
        <v>0</v>
      </c>
      <c r="N116" s="371">
        <f t="shared" si="26"/>
        <v>14350</v>
      </c>
      <c r="O116" s="407">
        <f t="shared" si="15"/>
        <v>264872</v>
      </c>
    </row>
    <row r="117" spans="1:15" ht="30">
      <c r="A117" s="302" t="s">
        <v>249</v>
      </c>
      <c r="B117" s="245" t="s">
        <v>527</v>
      </c>
      <c r="C117" s="380">
        <f>8013</f>
        <v>8013</v>
      </c>
      <c r="D117" s="214">
        <v>75755</v>
      </c>
      <c r="E117" s="214"/>
      <c r="F117" s="214">
        <f>34598+818</f>
        <v>35416</v>
      </c>
      <c r="G117" s="305">
        <v>1600</v>
      </c>
      <c r="H117" s="214">
        <v>12705</v>
      </c>
      <c r="I117" s="214">
        <v>24926</v>
      </c>
      <c r="J117" s="214">
        <v>44167</v>
      </c>
      <c r="K117" s="214">
        <v>22080</v>
      </c>
      <c r="L117" s="214">
        <v>6500</v>
      </c>
      <c r="M117" s="214"/>
      <c r="N117" s="309">
        <v>14350</v>
      </c>
      <c r="O117" s="377">
        <f>SUM(C117:N117)</f>
        <v>245512</v>
      </c>
    </row>
    <row r="118" spans="1:15" ht="15">
      <c r="A118" s="302" t="s">
        <v>370</v>
      </c>
      <c r="B118" s="391" t="s">
        <v>642</v>
      </c>
      <c r="C118" s="303">
        <v>19360</v>
      </c>
      <c r="D118" s="303"/>
      <c r="E118" s="303"/>
      <c r="F118" s="214"/>
      <c r="G118" s="305"/>
      <c r="H118" s="214"/>
      <c r="I118" s="214"/>
      <c r="J118" s="303"/>
      <c r="K118" s="214"/>
      <c r="L118" s="303"/>
      <c r="M118" s="214"/>
      <c r="N118" s="307"/>
      <c r="O118" s="377">
        <f>SUM(C118:N118)</f>
        <v>19360</v>
      </c>
    </row>
    <row r="119" spans="1:15" ht="15">
      <c r="A119" s="376" t="s">
        <v>11</v>
      </c>
      <c r="B119" s="378" t="s">
        <v>96</v>
      </c>
      <c r="C119" s="344">
        <f>SUM(C120:C121)</f>
        <v>71616</v>
      </c>
      <c r="D119" s="344">
        <f>SUM(D120:D121)</f>
        <v>486865</v>
      </c>
      <c r="E119" s="344">
        <f>SUM(E120:E121)</f>
        <v>0</v>
      </c>
      <c r="F119" s="267">
        <f>SUM(F120:F121)</f>
        <v>53857</v>
      </c>
      <c r="G119" s="343">
        <f aca="true" t="shared" si="27" ref="G119:N119">SUM(G120:G121)</f>
        <v>0</v>
      </c>
      <c r="H119" s="267">
        <f t="shared" si="27"/>
        <v>22841</v>
      </c>
      <c r="I119" s="267">
        <f t="shared" si="27"/>
        <v>9189</v>
      </c>
      <c r="J119" s="344">
        <f t="shared" si="27"/>
        <v>48006</v>
      </c>
      <c r="K119" s="344">
        <f t="shared" si="27"/>
        <v>7714</v>
      </c>
      <c r="L119" s="344">
        <f t="shared" si="27"/>
        <v>6614</v>
      </c>
      <c r="M119" s="267">
        <f t="shared" si="27"/>
        <v>0</v>
      </c>
      <c r="N119" s="342">
        <f t="shared" si="27"/>
        <v>10128</v>
      </c>
      <c r="O119" s="377">
        <f t="shared" si="15"/>
        <v>716830</v>
      </c>
    </row>
    <row r="120" spans="1:15" ht="15">
      <c r="A120" s="302" t="s">
        <v>250</v>
      </c>
      <c r="B120" s="284" t="s">
        <v>643</v>
      </c>
      <c r="C120" s="303">
        <f>121616-50000</f>
        <v>71616</v>
      </c>
      <c r="D120" s="214">
        <v>42808</v>
      </c>
      <c r="E120" s="214"/>
      <c r="F120" s="214">
        <f>50657+3200</f>
        <v>53857</v>
      </c>
      <c r="G120" s="305"/>
      <c r="H120" s="214"/>
      <c r="I120" s="214"/>
      <c r="J120" s="214"/>
      <c r="K120" s="214"/>
      <c r="L120" s="214"/>
      <c r="M120" s="214"/>
      <c r="N120" s="307"/>
      <c r="O120" s="377">
        <f t="shared" si="15"/>
        <v>168281</v>
      </c>
    </row>
    <row r="121" spans="1:15" ht="15">
      <c r="A121" s="408" t="s">
        <v>251</v>
      </c>
      <c r="B121" s="284" t="s">
        <v>644</v>
      </c>
      <c r="C121" s="303"/>
      <c r="D121" s="214">
        <v>444057</v>
      </c>
      <c r="E121" s="214"/>
      <c r="F121" s="303"/>
      <c r="G121" s="214"/>
      <c r="H121" s="214">
        <v>22841</v>
      </c>
      <c r="I121" s="214">
        <v>9189</v>
      </c>
      <c r="J121" s="214">
        <v>48006</v>
      </c>
      <c r="K121" s="214">
        <v>7714</v>
      </c>
      <c r="L121" s="214">
        <v>6614</v>
      </c>
      <c r="M121" s="214"/>
      <c r="N121" s="309">
        <v>10128</v>
      </c>
      <c r="O121" s="377">
        <f>SUM(C121:N121)</f>
        <v>548549</v>
      </c>
    </row>
    <row r="122" spans="1:15" s="453" customFormat="1" ht="28.5">
      <c r="A122" s="376" t="s">
        <v>252</v>
      </c>
      <c r="B122" s="404" t="s">
        <v>253</v>
      </c>
      <c r="C122" s="371">
        <f aca="true" t="shared" si="28" ref="C122:N122">SUM(C123:C124)</f>
        <v>6465275</v>
      </c>
      <c r="D122" s="371">
        <f t="shared" si="28"/>
        <v>0</v>
      </c>
      <c r="E122" s="371">
        <f t="shared" si="28"/>
        <v>0</v>
      </c>
      <c r="F122" s="371">
        <f t="shared" si="28"/>
        <v>0</v>
      </c>
      <c r="G122" s="371">
        <f t="shared" si="28"/>
        <v>0</v>
      </c>
      <c r="H122" s="371">
        <f t="shared" si="28"/>
        <v>0</v>
      </c>
      <c r="I122" s="371">
        <f t="shared" si="28"/>
        <v>0</v>
      </c>
      <c r="J122" s="371">
        <f t="shared" si="28"/>
        <v>42330</v>
      </c>
      <c r="K122" s="371">
        <f t="shared" si="28"/>
        <v>0</v>
      </c>
      <c r="L122" s="371">
        <f t="shared" si="28"/>
        <v>691</v>
      </c>
      <c r="M122" s="371">
        <f t="shared" si="28"/>
        <v>0</v>
      </c>
      <c r="N122" s="371">
        <f t="shared" si="28"/>
        <v>0</v>
      </c>
      <c r="O122" s="377">
        <f t="shared" si="15"/>
        <v>6508296</v>
      </c>
    </row>
    <row r="123" spans="1:15" s="453" customFormat="1" ht="15">
      <c r="A123" s="302" t="s">
        <v>422</v>
      </c>
      <c r="B123" s="409" t="s">
        <v>509</v>
      </c>
      <c r="C123" s="388">
        <f>20000+35505</f>
        <v>55505</v>
      </c>
      <c r="D123" s="371"/>
      <c r="E123" s="371"/>
      <c r="F123" s="371"/>
      <c r="G123" s="339"/>
      <c r="H123" s="371"/>
      <c r="I123" s="371"/>
      <c r="J123" s="371">
        <v>42330</v>
      </c>
      <c r="K123" s="371"/>
      <c r="L123" s="371">
        <v>691</v>
      </c>
      <c r="M123" s="371"/>
      <c r="N123" s="371"/>
      <c r="O123" s="377">
        <f>SUM(C123:N123)</f>
        <v>98526</v>
      </c>
    </row>
    <row r="124" spans="1:15" s="453" customFormat="1" ht="31.5">
      <c r="A124" s="192" t="s">
        <v>528</v>
      </c>
      <c r="B124" s="195" t="s">
        <v>529</v>
      </c>
      <c r="C124" s="249">
        <f>6400000+9770</f>
        <v>6409770</v>
      </c>
      <c r="D124" s="371"/>
      <c r="E124" s="371"/>
      <c r="F124" s="371"/>
      <c r="G124" s="339"/>
      <c r="H124" s="371"/>
      <c r="I124" s="371"/>
      <c r="J124" s="371"/>
      <c r="K124" s="371"/>
      <c r="L124" s="371"/>
      <c r="M124" s="371"/>
      <c r="N124" s="371"/>
      <c r="O124" s="377">
        <f>SUM(C124:N124)</f>
        <v>6409770</v>
      </c>
    </row>
    <row r="125" spans="1:15" ht="29.25">
      <c r="A125" s="369" t="s">
        <v>254</v>
      </c>
      <c r="B125" s="404" t="s">
        <v>255</v>
      </c>
      <c r="C125" s="371">
        <f>C126</f>
        <v>35325</v>
      </c>
      <c r="D125" s="371">
        <f aca="true" t="shared" si="29" ref="D125:N125">D126</f>
        <v>0</v>
      </c>
      <c r="E125" s="371">
        <f t="shared" si="29"/>
        <v>0</v>
      </c>
      <c r="F125" s="371">
        <f t="shared" si="29"/>
        <v>0</v>
      </c>
      <c r="G125" s="371">
        <f t="shared" si="29"/>
        <v>9988</v>
      </c>
      <c r="H125" s="371">
        <f t="shared" si="29"/>
        <v>0</v>
      </c>
      <c r="I125" s="371">
        <f t="shared" si="29"/>
        <v>0</v>
      </c>
      <c r="J125" s="371">
        <f t="shared" si="29"/>
        <v>0</v>
      </c>
      <c r="K125" s="371">
        <f t="shared" si="29"/>
        <v>0</v>
      </c>
      <c r="L125" s="371">
        <f t="shared" si="29"/>
        <v>0</v>
      </c>
      <c r="M125" s="371">
        <f t="shared" si="29"/>
        <v>0</v>
      </c>
      <c r="N125" s="371">
        <f t="shared" si="29"/>
        <v>0</v>
      </c>
      <c r="O125" s="377">
        <f>SUM(C125:N125)</f>
        <v>45313</v>
      </c>
    </row>
    <row r="126" spans="1:15" s="453" customFormat="1" ht="30" customHeight="1" thickBot="1">
      <c r="A126" s="411" t="s">
        <v>423</v>
      </c>
      <c r="B126" s="403" t="s">
        <v>645</v>
      </c>
      <c r="C126" s="249">
        <v>35325</v>
      </c>
      <c r="D126" s="371"/>
      <c r="E126" s="371"/>
      <c r="F126" s="371"/>
      <c r="G126" s="300">
        <v>9988</v>
      </c>
      <c r="H126" s="371"/>
      <c r="I126" s="371"/>
      <c r="J126" s="371"/>
      <c r="K126" s="371"/>
      <c r="L126" s="371"/>
      <c r="M126" s="371"/>
      <c r="N126" s="371"/>
      <c r="O126" s="377">
        <f>SUM(C126:N126)</f>
        <v>45313</v>
      </c>
    </row>
    <row r="127" spans="1:15" ht="30" thickBot="1">
      <c r="A127" s="332" t="s">
        <v>12</v>
      </c>
      <c r="B127" s="406" t="s">
        <v>97</v>
      </c>
      <c r="C127" s="296">
        <f>SUM(C128:C134)</f>
        <v>4244258</v>
      </c>
      <c r="D127" s="296">
        <f aca="true" t="shared" si="30" ref="D127:N127">SUM(D128:D134)</f>
        <v>2289413</v>
      </c>
      <c r="E127" s="296">
        <f t="shared" si="30"/>
        <v>0</v>
      </c>
      <c r="F127" s="296">
        <f t="shared" si="30"/>
        <v>265966</v>
      </c>
      <c r="G127" s="296">
        <f t="shared" si="30"/>
        <v>106941</v>
      </c>
      <c r="H127" s="296">
        <f t="shared" si="30"/>
        <v>159317</v>
      </c>
      <c r="I127" s="296">
        <f t="shared" si="30"/>
        <v>158459</v>
      </c>
      <c r="J127" s="296">
        <f t="shared" si="30"/>
        <v>356681</v>
      </c>
      <c r="K127" s="296">
        <f t="shared" si="30"/>
        <v>56273</v>
      </c>
      <c r="L127" s="296">
        <f t="shared" si="30"/>
        <v>110134</v>
      </c>
      <c r="M127" s="296">
        <f t="shared" si="30"/>
        <v>105085</v>
      </c>
      <c r="N127" s="296">
        <f t="shared" si="30"/>
        <v>110991</v>
      </c>
      <c r="O127" s="297">
        <f t="shared" si="15"/>
        <v>7963518</v>
      </c>
    </row>
    <row r="128" spans="1:15" ht="15">
      <c r="A128" s="369" t="s">
        <v>315</v>
      </c>
      <c r="B128" s="404" t="s">
        <v>424</v>
      </c>
      <c r="C128" s="371"/>
      <c r="D128" s="339"/>
      <c r="E128" s="300"/>
      <c r="F128" s="249"/>
      <c r="G128" s="300"/>
      <c r="H128" s="443"/>
      <c r="I128" s="300"/>
      <c r="J128" s="300"/>
      <c r="K128" s="300"/>
      <c r="L128" s="300"/>
      <c r="M128" s="300"/>
      <c r="N128" s="249"/>
      <c r="O128" s="374">
        <f t="shared" si="15"/>
        <v>0</v>
      </c>
    </row>
    <row r="129" spans="1:15" ht="15">
      <c r="A129" s="395" t="s">
        <v>372</v>
      </c>
      <c r="B129" s="403" t="s">
        <v>175</v>
      </c>
      <c r="C129" s="371"/>
      <c r="D129" s="339"/>
      <c r="E129" s="300"/>
      <c r="F129" s="249"/>
      <c r="G129" s="300"/>
      <c r="H129" s="214"/>
      <c r="I129" s="300"/>
      <c r="J129" s="300"/>
      <c r="K129" s="300"/>
      <c r="L129" s="300"/>
      <c r="M129" s="300"/>
      <c r="N129" s="249"/>
      <c r="O129" s="321">
        <f t="shared" si="15"/>
        <v>0</v>
      </c>
    </row>
    <row r="130" spans="1:15" ht="15">
      <c r="A130" s="376" t="s">
        <v>425</v>
      </c>
      <c r="B130" s="378" t="s">
        <v>256</v>
      </c>
      <c r="C130" s="380">
        <v>151876</v>
      </c>
      <c r="D130" s="267"/>
      <c r="E130" s="214"/>
      <c r="F130" s="303"/>
      <c r="G130" s="214"/>
      <c r="H130" s="214"/>
      <c r="I130" s="214"/>
      <c r="J130" s="214"/>
      <c r="K130" s="214"/>
      <c r="L130" s="214"/>
      <c r="M130" s="214"/>
      <c r="N130" s="303"/>
      <c r="O130" s="377">
        <f t="shared" si="15"/>
        <v>151876</v>
      </c>
    </row>
    <row r="131" spans="1:15" ht="15">
      <c r="A131" s="376" t="s">
        <v>98</v>
      </c>
      <c r="B131" s="378" t="s">
        <v>99</v>
      </c>
      <c r="C131" s="303"/>
      <c r="D131" s="214">
        <v>179725</v>
      </c>
      <c r="E131" s="214"/>
      <c r="F131" s="214">
        <f>25781-800</f>
        <v>24981</v>
      </c>
      <c r="G131" s="305"/>
      <c r="H131" s="214"/>
      <c r="I131" s="214"/>
      <c r="J131" s="214"/>
      <c r="K131" s="214"/>
      <c r="L131" s="214"/>
      <c r="M131" s="214"/>
      <c r="N131" s="303"/>
      <c r="O131" s="377">
        <f aca="true" t="shared" si="31" ref="O131:O139">SUM(C131:N131)</f>
        <v>204706</v>
      </c>
    </row>
    <row r="132" spans="1:15" ht="15">
      <c r="A132" s="376" t="s">
        <v>530</v>
      </c>
      <c r="B132" s="284" t="s">
        <v>531</v>
      </c>
      <c r="C132" s="303"/>
      <c r="D132" s="267"/>
      <c r="E132" s="214"/>
      <c r="F132" s="214"/>
      <c r="G132" s="305"/>
      <c r="H132" s="214">
        <v>28491</v>
      </c>
      <c r="I132" s="214">
        <v>13097</v>
      </c>
      <c r="J132" s="214">
        <v>41613</v>
      </c>
      <c r="K132" s="214">
        <v>9429</v>
      </c>
      <c r="L132" s="214">
        <v>8034</v>
      </c>
      <c r="M132" s="214">
        <v>80930</v>
      </c>
      <c r="N132" s="309">
        <v>3790</v>
      </c>
      <c r="O132" s="377">
        <f t="shared" si="31"/>
        <v>185384</v>
      </c>
    </row>
    <row r="133" spans="1:15" ht="15">
      <c r="A133" s="376" t="s">
        <v>100</v>
      </c>
      <c r="B133" s="378" t="s">
        <v>101</v>
      </c>
      <c r="C133" s="344">
        <v>971334</v>
      </c>
      <c r="D133" s="267"/>
      <c r="E133" s="214"/>
      <c r="F133" s="214"/>
      <c r="G133" s="305">
        <v>5900</v>
      </c>
      <c r="H133" s="214">
        <v>1200</v>
      </c>
      <c r="I133" s="214"/>
      <c r="J133" s="214">
        <f>6225+6900</f>
        <v>13125</v>
      </c>
      <c r="K133" s="214"/>
      <c r="L133" s="214"/>
      <c r="M133" s="214">
        <v>1700</v>
      </c>
      <c r="N133" s="303"/>
      <c r="O133" s="377">
        <f t="shared" si="31"/>
        <v>993259</v>
      </c>
    </row>
    <row r="134" spans="1:15" ht="43.5">
      <c r="A134" s="376" t="s">
        <v>102</v>
      </c>
      <c r="B134" s="378" t="s">
        <v>103</v>
      </c>
      <c r="C134" s="344">
        <f aca="true" t="shared" si="32" ref="C134:N134">SUM(C135:C151)</f>
        <v>3121048</v>
      </c>
      <c r="D134" s="344">
        <f t="shared" si="32"/>
        <v>2109688</v>
      </c>
      <c r="E134" s="344">
        <f t="shared" si="32"/>
        <v>0</v>
      </c>
      <c r="F134" s="344">
        <f t="shared" si="32"/>
        <v>240985</v>
      </c>
      <c r="G134" s="344">
        <f t="shared" si="32"/>
        <v>101041</v>
      </c>
      <c r="H134" s="344">
        <f t="shared" si="32"/>
        <v>129626</v>
      </c>
      <c r="I134" s="344">
        <f t="shared" si="32"/>
        <v>145362</v>
      </c>
      <c r="J134" s="344">
        <f t="shared" si="32"/>
        <v>301943</v>
      </c>
      <c r="K134" s="344">
        <f t="shared" si="32"/>
        <v>46844</v>
      </c>
      <c r="L134" s="344">
        <f t="shared" si="32"/>
        <v>102100</v>
      </c>
      <c r="M134" s="344">
        <f t="shared" si="32"/>
        <v>22455</v>
      </c>
      <c r="N134" s="344">
        <f t="shared" si="32"/>
        <v>107201</v>
      </c>
      <c r="O134" s="377">
        <f t="shared" si="31"/>
        <v>6428293</v>
      </c>
    </row>
    <row r="135" spans="1:15" ht="15">
      <c r="A135" s="302" t="s">
        <v>257</v>
      </c>
      <c r="B135" s="284" t="s">
        <v>646</v>
      </c>
      <c r="C135" s="303"/>
      <c r="D135" s="214">
        <v>2084339</v>
      </c>
      <c r="E135" s="214"/>
      <c r="F135" s="214">
        <f>99735-900</f>
        <v>98835</v>
      </c>
      <c r="G135" s="346"/>
      <c r="H135" s="300">
        <v>16950</v>
      </c>
      <c r="I135" s="214">
        <v>11670</v>
      </c>
      <c r="J135" s="214"/>
      <c r="K135" s="214"/>
      <c r="L135" s="214"/>
      <c r="M135" s="214"/>
      <c r="N135" s="214"/>
      <c r="O135" s="377">
        <f t="shared" si="31"/>
        <v>2211794</v>
      </c>
    </row>
    <row r="136" spans="1:15" ht="15">
      <c r="A136" s="302" t="s">
        <v>258</v>
      </c>
      <c r="B136" s="284" t="s">
        <v>647</v>
      </c>
      <c r="C136" s="303"/>
      <c r="D136" s="214"/>
      <c r="E136" s="214"/>
      <c r="F136" s="214">
        <f>158200-16050</f>
        <v>142150</v>
      </c>
      <c r="G136" s="346"/>
      <c r="H136" s="214">
        <v>54900</v>
      </c>
      <c r="I136" s="214">
        <v>79451</v>
      </c>
      <c r="J136" s="214">
        <v>129795</v>
      </c>
      <c r="K136" s="214"/>
      <c r="L136" s="214"/>
      <c r="M136" s="214"/>
      <c r="N136" s="303"/>
      <c r="O136" s="377">
        <f t="shared" si="31"/>
        <v>406296</v>
      </c>
    </row>
    <row r="137" spans="1:15" ht="15">
      <c r="A137" s="302" t="s">
        <v>259</v>
      </c>
      <c r="B137" s="284" t="s">
        <v>648</v>
      </c>
      <c r="C137" s="380">
        <f>36100+10200</f>
        <v>46300</v>
      </c>
      <c r="D137" s="214">
        <v>25349</v>
      </c>
      <c r="E137" s="214"/>
      <c r="F137" s="303"/>
      <c r="G137" s="214">
        <v>10586</v>
      </c>
      <c r="H137" s="214"/>
      <c r="I137" s="214"/>
      <c r="J137" s="214">
        <v>16088</v>
      </c>
      <c r="K137" s="214">
        <v>5184</v>
      </c>
      <c r="L137" s="214"/>
      <c r="M137" s="214">
        <v>4354</v>
      </c>
      <c r="N137" s="303"/>
      <c r="O137" s="377">
        <f t="shared" si="31"/>
        <v>107861</v>
      </c>
    </row>
    <row r="138" spans="1:15" ht="45">
      <c r="A138" s="192" t="s">
        <v>426</v>
      </c>
      <c r="B138" s="189" t="s">
        <v>532</v>
      </c>
      <c r="C138" s="249">
        <f>241023+9989</f>
        <v>251012</v>
      </c>
      <c r="D138" s="214"/>
      <c r="E138" s="214"/>
      <c r="F138" s="303"/>
      <c r="G138" s="214"/>
      <c r="H138" s="214"/>
      <c r="I138" s="214"/>
      <c r="J138" s="214"/>
      <c r="K138" s="214"/>
      <c r="L138" s="214"/>
      <c r="M138" s="214"/>
      <c r="N138" s="303"/>
      <c r="O138" s="377">
        <f t="shared" si="31"/>
        <v>251012</v>
      </c>
    </row>
    <row r="139" spans="1:15" ht="30">
      <c r="A139" s="302" t="s">
        <v>260</v>
      </c>
      <c r="B139" s="284" t="s">
        <v>427</v>
      </c>
      <c r="C139" s="249">
        <f>43600-20360</f>
        <v>23240</v>
      </c>
      <c r="D139" s="214"/>
      <c r="E139" s="214"/>
      <c r="F139" s="303"/>
      <c r="G139" s="214">
        <v>5968</v>
      </c>
      <c r="H139" s="214">
        <v>3000</v>
      </c>
      <c r="I139" s="214">
        <v>1496</v>
      </c>
      <c r="J139" s="214">
        <v>1494</v>
      </c>
      <c r="K139" s="214">
        <v>2615</v>
      </c>
      <c r="L139" s="214">
        <v>1500</v>
      </c>
      <c r="M139" s="214"/>
      <c r="N139" s="303">
        <f>4420-133</f>
        <v>4287</v>
      </c>
      <c r="O139" s="377">
        <f t="shared" si="31"/>
        <v>43600</v>
      </c>
    </row>
    <row r="140" spans="1:15" ht="30">
      <c r="A140" s="302" t="s">
        <v>261</v>
      </c>
      <c r="B140" s="403" t="s">
        <v>649</v>
      </c>
      <c r="C140" s="249">
        <f>55000+5595</f>
        <v>60595</v>
      </c>
      <c r="D140" s="214"/>
      <c r="E140" s="214"/>
      <c r="F140" s="303"/>
      <c r="G140" s="214">
        <v>5106</v>
      </c>
      <c r="H140" s="214"/>
      <c r="I140" s="214">
        <v>657</v>
      </c>
      <c r="J140" s="214">
        <v>8233</v>
      </c>
      <c r="K140" s="214"/>
      <c r="L140" s="214"/>
      <c r="M140" s="214"/>
      <c r="N140" s="303"/>
      <c r="O140" s="377">
        <f>SUM(C140:N140)</f>
        <v>74591</v>
      </c>
    </row>
    <row r="141" spans="1:15" ht="15">
      <c r="A141" s="302" t="s">
        <v>262</v>
      </c>
      <c r="B141" s="412" t="s">
        <v>650</v>
      </c>
      <c r="C141" s="303">
        <v>53000</v>
      </c>
      <c r="D141" s="303"/>
      <c r="E141" s="303"/>
      <c r="F141" s="303"/>
      <c r="G141" s="214">
        <v>5480</v>
      </c>
      <c r="H141" s="214"/>
      <c r="I141" s="214">
        <v>52088</v>
      </c>
      <c r="J141" s="214"/>
      <c r="K141" s="214">
        <v>19265</v>
      </c>
      <c r="L141" s="214"/>
      <c r="M141" s="214">
        <v>12848</v>
      </c>
      <c r="N141" s="303"/>
      <c r="O141" s="377">
        <f aca="true" t="shared" si="33" ref="O141:O194">SUM(C141:N141)</f>
        <v>142681</v>
      </c>
    </row>
    <row r="142" spans="1:15" ht="17.25" customHeight="1">
      <c r="A142" s="302" t="s">
        <v>263</v>
      </c>
      <c r="B142" s="284" t="s">
        <v>651</v>
      </c>
      <c r="C142" s="214">
        <f>5000+8418</f>
        <v>13418</v>
      </c>
      <c r="D142" s="214"/>
      <c r="E142" s="214"/>
      <c r="F142" s="303"/>
      <c r="G142" s="214"/>
      <c r="H142" s="214"/>
      <c r="I142" s="214"/>
      <c r="J142" s="214"/>
      <c r="K142" s="214"/>
      <c r="L142" s="214"/>
      <c r="M142" s="214"/>
      <c r="N142" s="303"/>
      <c r="O142" s="377">
        <f t="shared" si="33"/>
        <v>13418</v>
      </c>
    </row>
    <row r="143" spans="1:15" ht="15">
      <c r="A143" s="302" t="s">
        <v>264</v>
      </c>
      <c r="B143" s="285" t="s">
        <v>652</v>
      </c>
      <c r="C143" s="303"/>
      <c r="D143" s="303"/>
      <c r="E143" s="303"/>
      <c r="F143" s="303"/>
      <c r="G143" s="214"/>
      <c r="H143" s="214">
        <v>54776</v>
      </c>
      <c r="I143" s="214"/>
      <c r="J143" s="71">
        <v>146333</v>
      </c>
      <c r="K143" s="214">
        <v>19780</v>
      </c>
      <c r="L143" s="214">
        <v>100600</v>
      </c>
      <c r="M143" s="214"/>
      <c r="N143" s="309">
        <v>102914</v>
      </c>
      <c r="O143" s="377">
        <f t="shared" si="33"/>
        <v>424403</v>
      </c>
    </row>
    <row r="144" spans="1:15" ht="15">
      <c r="A144" s="302" t="s">
        <v>438</v>
      </c>
      <c r="B144" s="403" t="s">
        <v>428</v>
      </c>
      <c r="C144" s="214">
        <f>145574+71783</f>
        <v>217357</v>
      </c>
      <c r="D144" s="214"/>
      <c r="E144" s="214"/>
      <c r="F144" s="214"/>
      <c r="G144" s="214">
        <v>69531</v>
      </c>
      <c r="H144" s="214"/>
      <c r="I144" s="214"/>
      <c r="J144" s="71"/>
      <c r="K144" s="214"/>
      <c r="L144" s="214"/>
      <c r="M144" s="214">
        <v>5253</v>
      </c>
      <c r="N144" s="345"/>
      <c r="O144" s="377">
        <f t="shared" si="33"/>
        <v>292141</v>
      </c>
    </row>
    <row r="145" spans="1:15" ht="31.5">
      <c r="A145" s="192" t="s">
        <v>534</v>
      </c>
      <c r="B145" s="195" t="s">
        <v>535</v>
      </c>
      <c r="C145" s="214">
        <f>809180-16821</f>
        <v>792359</v>
      </c>
      <c r="D145" s="214"/>
      <c r="E145" s="214"/>
      <c r="F145" s="214"/>
      <c r="G145" s="214"/>
      <c r="H145" s="214"/>
      <c r="I145" s="214"/>
      <c r="J145" s="71"/>
      <c r="K145" s="214"/>
      <c r="L145" s="214"/>
      <c r="M145" s="214"/>
      <c r="N145" s="345"/>
      <c r="O145" s="377">
        <f t="shared" si="33"/>
        <v>792359</v>
      </c>
    </row>
    <row r="146" spans="1:15" ht="30">
      <c r="A146" s="192" t="s">
        <v>499</v>
      </c>
      <c r="B146" s="413" t="s">
        <v>512</v>
      </c>
      <c r="C146" s="303">
        <f>1302499+37625</f>
        <v>1340124</v>
      </c>
      <c r="D146" s="303"/>
      <c r="E146" s="303"/>
      <c r="F146" s="303"/>
      <c r="G146" s="214"/>
      <c r="H146" s="214"/>
      <c r="I146" s="214"/>
      <c r="J146" s="71"/>
      <c r="K146" s="303"/>
      <c r="L146" s="214"/>
      <c r="M146" s="214"/>
      <c r="N146" s="345"/>
      <c r="O146" s="377">
        <f t="shared" si="33"/>
        <v>1340124</v>
      </c>
    </row>
    <row r="147" spans="1:15" ht="30">
      <c r="A147" s="192" t="s">
        <v>568</v>
      </c>
      <c r="B147" s="231" t="s">
        <v>569</v>
      </c>
      <c r="C147" s="303">
        <v>8470</v>
      </c>
      <c r="D147" s="214"/>
      <c r="E147" s="214"/>
      <c r="F147" s="303"/>
      <c r="G147" s="214"/>
      <c r="H147" s="214"/>
      <c r="I147" s="214"/>
      <c r="J147" s="71"/>
      <c r="K147" s="214"/>
      <c r="L147" s="214"/>
      <c r="M147" s="214"/>
      <c r="N147" s="345"/>
      <c r="O147" s="377">
        <f t="shared" si="33"/>
        <v>8470</v>
      </c>
    </row>
    <row r="148" spans="1:15" ht="15.75">
      <c r="A148" s="192" t="s">
        <v>654</v>
      </c>
      <c r="B148" s="195" t="s">
        <v>655</v>
      </c>
      <c r="C148" s="303">
        <f>203440+16733</f>
        <v>220173</v>
      </c>
      <c r="D148" s="303"/>
      <c r="E148" s="303"/>
      <c r="F148" s="303"/>
      <c r="G148" s="303"/>
      <c r="H148" s="303"/>
      <c r="I148" s="303"/>
      <c r="J148" s="380"/>
      <c r="K148" s="303"/>
      <c r="L148" s="303"/>
      <c r="M148" s="303"/>
      <c r="N148" s="345"/>
      <c r="O148" s="377">
        <f t="shared" si="33"/>
        <v>220173</v>
      </c>
    </row>
    <row r="149" spans="1:15" ht="15.75">
      <c r="A149" s="192" t="s">
        <v>656</v>
      </c>
      <c r="B149" s="195" t="s">
        <v>657</v>
      </c>
      <c r="C149" s="303">
        <v>56000</v>
      </c>
      <c r="D149" s="303"/>
      <c r="E149" s="303"/>
      <c r="F149" s="303"/>
      <c r="G149" s="303"/>
      <c r="H149" s="303"/>
      <c r="I149" s="303"/>
      <c r="J149" s="380"/>
      <c r="K149" s="303"/>
      <c r="L149" s="303"/>
      <c r="M149" s="303"/>
      <c r="N149" s="345"/>
      <c r="O149" s="377">
        <f t="shared" si="33"/>
        <v>56000</v>
      </c>
    </row>
    <row r="150" spans="1:15" ht="15.75">
      <c r="A150" s="192" t="s">
        <v>658</v>
      </c>
      <c r="B150" s="530" t="s">
        <v>659</v>
      </c>
      <c r="C150" s="303">
        <v>39000</v>
      </c>
      <c r="D150" s="303"/>
      <c r="E150" s="303"/>
      <c r="F150" s="303"/>
      <c r="G150" s="303"/>
      <c r="H150" s="303"/>
      <c r="I150" s="303"/>
      <c r="J150" s="380"/>
      <c r="K150" s="303"/>
      <c r="L150" s="303"/>
      <c r="M150" s="303"/>
      <c r="N150" s="303"/>
      <c r="O150" s="377">
        <f t="shared" si="33"/>
        <v>39000</v>
      </c>
    </row>
    <row r="151" spans="1:15" ht="16.5" thickBot="1">
      <c r="A151" s="197" t="s">
        <v>885</v>
      </c>
      <c r="B151" s="414" t="s">
        <v>886</v>
      </c>
      <c r="C151" s="331"/>
      <c r="D151" s="331"/>
      <c r="E151" s="331"/>
      <c r="F151" s="331"/>
      <c r="G151" s="331">
        <v>4370</v>
      </c>
      <c r="H151" s="331"/>
      <c r="I151" s="331"/>
      <c r="J151" s="392"/>
      <c r="K151" s="331"/>
      <c r="L151" s="331"/>
      <c r="M151" s="331"/>
      <c r="N151" s="331"/>
      <c r="O151" s="377">
        <f t="shared" si="33"/>
        <v>4370</v>
      </c>
    </row>
    <row r="152" spans="1:15" ht="15.75" thickBot="1">
      <c r="A152" s="332" t="s">
        <v>13</v>
      </c>
      <c r="B152" s="294" t="s">
        <v>104</v>
      </c>
      <c r="C152" s="296">
        <f>SUM(C153+C155+C156)</f>
        <v>70920</v>
      </c>
      <c r="D152" s="296">
        <f aca="true" t="shared" si="34" ref="D152:N152">SUM(D153+D155+D156)</f>
        <v>0</v>
      </c>
      <c r="E152" s="296">
        <f t="shared" si="34"/>
        <v>0</v>
      </c>
      <c r="F152" s="296">
        <f t="shared" si="34"/>
        <v>0</v>
      </c>
      <c r="G152" s="296">
        <f t="shared" si="34"/>
        <v>1930</v>
      </c>
      <c r="H152" s="296">
        <f t="shared" si="34"/>
        <v>0</v>
      </c>
      <c r="I152" s="296">
        <f t="shared" si="34"/>
        <v>0</v>
      </c>
      <c r="J152" s="296">
        <f t="shared" si="34"/>
        <v>0</v>
      </c>
      <c r="K152" s="296">
        <f t="shared" si="34"/>
        <v>3194</v>
      </c>
      <c r="L152" s="296">
        <f t="shared" si="34"/>
        <v>27085</v>
      </c>
      <c r="M152" s="296">
        <f t="shared" si="34"/>
        <v>550</v>
      </c>
      <c r="N152" s="296">
        <f t="shared" si="34"/>
        <v>2110</v>
      </c>
      <c r="O152" s="297">
        <f>SUM(C152:N152)</f>
        <v>105789</v>
      </c>
    </row>
    <row r="153" spans="1:15" s="453" customFormat="1" ht="14.25">
      <c r="A153" s="369" t="s">
        <v>105</v>
      </c>
      <c r="B153" s="370" t="s">
        <v>106</v>
      </c>
      <c r="C153" s="371">
        <f>SUM(C154:C154)</f>
        <v>0</v>
      </c>
      <c r="D153" s="371">
        <f aca="true" t="shared" si="35" ref="D153:N153">SUM(D154:D154)</f>
        <v>0</v>
      </c>
      <c r="E153" s="371">
        <f t="shared" si="35"/>
        <v>0</v>
      </c>
      <c r="F153" s="371">
        <f t="shared" si="35"/>
        <v>0</v>
      </c>
      <c r="G153" s="371">
        <f>SUM(G154:G154)</f>
        <v>1930</v>
      </c>
      <c r="H153" s="371">
        <f t="shared" si="35"/>
        <v>0</v>
      </c>
      <c r="I153" s="371">
        <f t="shared" si="35"/>
        <v>0</v>
      </c>
      <c r="J153" s="371">
        <f t="shared" si="35"/>
        <v>0</v>
      </c>
      <c r="K153" s="371">
        <f t="shared" si="35"/>
        <v>3194</v>
      </c>
      <c r="L153" s="371">
        <f t="shared" si="35"/>
        <v>27085</v>
      </c>
      <c r="M153" s="371">
        <f t="shared" si="35"/>
        <v>550</v>
      </c>
      <c r="N153" s="371">
        <f t="shared" si="35"/>
        <v>2110</v>
      </c>
      <c r="O153" s="301">
        <f>SUM(C153:N153)</f>
        <v>34869</v>
      </c>
    </row>
    <row r="154" spans="1:15" s="453" customFormat="1" ht="15">
      <c r="A154" s="302" t="s">
        <v>430</v>
      </c>
      <c r="B154" s="245" t="s">
        <v>176</v>
      </c>
      <c r="C154" s="371"/>
      <c r="D154" s="371"/>
      <c r="E154" s="371"/>
      <c r="F154" s="371"/>
      <c r="G154" s="339">
        <v>1930</v>
      </c>
      <c r="H154" s="371"/>
      <c r="I154" s="371"/>
      <c r="J154" s="371"/>
      <c r="K154" s="339">
        <v>3194</v>
      </c>
      <c r="L154" s="371">
        <v>27085</v>
      </c>
      <c r="M154" s="267">
        <v>550</v>
      </c>
      <c r="N154" s="415">
        <v>2110</v>
      </c>
      <c r="O154" s="301">
        <f>SUM(C154:N154)</f>
        <v>34869</v>
      </c>
    </row>
    <row r="155" spans="1:15" s="453" customFormat="1" ht="28.5" customHeight="1">
      <c r="A155" s="192" t="s">
        <v>407</v>
      </c>
      <c r="B155" s="188" t="s">
        <v>440</v>
      </c>
      <c r="C155" s="249">
        <f>22324+27500</f>
        <v>49824</v>
      </c>
      <c r="D155" s="371"/>
      <c r="E155" s="371"/>
      <c r="F155" s="371"/>
      <c r="G155" s="339"/>
      <c r="H155" s="371"/>
      <c r="I155" s="371"/>
      <c r="J155" s="371"/>
      <c r="K155" s="339"/>
      <c r="L155" s="371"/>
      <c r="M155" s="267"/>
      <c r="N155" s="327"/>
      <c r="O155" s="377">
        <f t="shared" si="33"/>
        <v>49824</v>
      </c>
    </row>
    <row r="156" spans="1:15" ht="15.75" thickBot="1">
      <c r="A156" s="192" t="s">
        <v>498</v>
      </c>
      <c r="B156" s="198" t="s">
        <v>503</v>
      </c>
      <c r="C156" s="303">
        <v>21096</v>
      </c>
      <c r="D156" s="214"/>
      <c r="E156" s="214"/>
      <c r="F156" s="303"/>
      <c r="G156" s="214"/>
      <c r="H156" s="214"/>
      <c r="I156" s="214"/>
      <c r="J156" s="214"/>
      <c r="K156" s="214"/>
      <c r="L156" s="214"/>
      <c r="M156" s="214"/>
      <c r="N156" s="303"/>
      <c r="O156" s="377">
        <f t="shared" si="33"/>
        <v>21096</v>
      </c>
    </row>
    <row r="157" spans="1:15" ht="15.75" thickBot="1">
      <c r="A157" s="332" t="s">
        <v>15</v>
      </c>
      <c r="B157" s="294" t="s">
        <v>107</v>
      </c>
      <c r="C157" s="296">
        <f aca="true" t="shared" si="36" ref="C157:N157">C158+C162+C181+C184</f>
        <v>2041808</v>
      </c>
      <c r="D157" s="296">
        <f t="shared" si="36"/>
        <v>363673</v>
      </c>
      <c r="E157" s="296">
        <f t="shared" si="36"/>
        <v>1416830</v>
      </c>
      <c r="F157" s="296">
        <f t="shared" si="36"/>
        <v>0</v>
      </c>
      <c r="G157" s="296">
        <f t="shared" si="36"/>
        <v>220242</v>
      </c>
      <c r="H157" s="296">
        <f t="shared" si="36"/>
        <v>96005</v>
      </c>
      <c r="I157" s="296">
        <f t="shared" si="36"/>
        <v>127808</v>
      </c>
      <c r="J157" s="296">
        <f t="shared" si="36"/>
        <v>198651</v>
      </c>
      <c r="K157" s="296">
        <f t="shared" si="36"/>
        <v>42129</v>
      </c>
      <c r="L157" s="296">
        <f t="shared" si="36"/>
        <v>37293</v>
      </c>
      <c r="M157" s="296">
        <f t="shared" si="36"/>
        <v>89967</v>
      </c>
      <c r="N157" s="296">
        <f t="shared" si="36"/>
        <v>63713</v>
      </c>
      <c r="O157" s="297">
        <f t="shared" si="33"/>
        <v>4698119</v>
      </c>
    </row>
    <row r="158" spans="1:15" ht="15">
      <c r="A158" s="369" t="s">
        <v>108</v>
      </c>
      <c r="B158" s="370" t="s">
        <v>109</v>
      </c>
      <c r="C158" s="371">
        <f aca="true" t="shared" si="37" ref="C158:N158">SUM(C159:C161)</f>
        <v>524117</v>
      </c>
      <c r="D158" s="371">
        <f t="shared" si="37"/>
        <v>363673</v>
      </c>
      <c r="E158" s="371">
        <f t="shared" si="37"/>
        <v>0</v>
      </c>
      <c r="F158" s="371">
        <f t="shared" si="37"/>
        <v>0</v>
      </c>
      <c r="G158" s="371">
        <f t="shared" si="37"/>
        <v>5470</v>
      </c>
      <c r="H158" s="371">
        <f t="shared" si="37"/>
        <v>0</v>
      </c>
      <c r="I158" s="371">
        <f t="shared" si="37"/>
        <v>0</v>
      </c>
      <c r="J158" s="371">
        <f t="shared" si="37"/>
        <v>7072</v>
      </c>
      <c r="K158" s="371">
        <f t="shared" si="37"/>
        <v>0</v>
      </c>
      <c r="L158" s="371">
        <f t="shared" si="37"/>
        <v>0</v>
      </c>
      <c r="M158" s="371">
        <f t="shared" si="37"/>
        <v>8400</v>
      </c>
      <c r="N158" s="371">
        <f t="shared" si="37"/>
        <v>0</v>
      </c>
      <c r="O158" s="407">
        <f t="shared" si="33"/>
        <v>908732</v>
      </c>
    </row>
    <row r="159" spans="1:15" ht="15">
      <c r="A159" s="302" t="s">
        <v>265</v>
      </c>
      <c r="B159" s="245" t="s">
        <v>110</v>
      </c>
      <c r="C159" s="303">
        <f>66185+28085</f>
        <v>94270</v>
      </c>
      <c r="D159" s="214"/>
      <c r="E159" s="214"/>
      <c r="F159" s="303"/>
      <c r="G159" s="214">
        <v>5470</v>
      </c>
      <c r="H159" s="214"/>
      <c r="I159" s="214"/>
      <c r="J159" s="214">
        <v>7072</v>
      </c>
      <c r="K159" s="214"/>
      <c r="L159" s="214"/>
      <c r="M159" s="214">
        <v>8400</v>
      </c>
      <c r="N159" s="303"/>
      <c r="O159" s="377">
        <f t="shared" si="33"/>
        <v>115212</v>
      </c>
    </row>
    <row r="160" spans="1:15" ht="30">
      <c r="A160" s="302" t="s">
        <v>266</v>
      </c>
      <c r="B160" s="245" t="s">
        <v>111</v>
      </c>
      <c r="C160" s="303">
        <f>396260+33587</f>
        <v>429847</v>
      </c>
      <c r="D160" s="214"/>
      <c r="E160" s="214"/>
      <c r="F160" s="303"/>
      <c r="G160" s="214"/>
      <c r="H160" s="214"/>
      <c r="I160" s="214"/>
      <c r="J160" s="214"/>
      <c r="K160" s="214"/>
      <c r="L160" s="214"/>
      <c r="M160" s="214"/>
      <c r="N160" s="303"/>
      <c r="O160" s="377">
        <f t="shared" si="33"/>
        <v>429847</v>
      </c>
    </row>
    <row r="161" spans="1:15" ht="15">
      <c r="A161" s="302" t="s">
        <v>373</v>
      </c>
      <c r="B161" s="245" t="s">
        <v>374</v>
      </c>
      <c r="C161" s="303"/>
      <c r="D161" s="303">
        <v>363673</v>
      </c>
      <c r="E161" s="303"/>
      <c r="F161" s="303"/>
      <c r="G161" s="214"/>
      <c r="H161" s="303"/>
      <c r="I161" s="303"/>
      <c r="J161" s="303"/>
      <c r="K161" s="303"/>
      <c r="L161" s="303"/>
      <c r="M161" s="303"/>
      <c r="N161" s="303"/>
      <c r="O161" s="377">
        <f t="shared" si="33"/>
        <v>363673</v>
      </c>
    </row>
    <row r="162" spans="1:15" ht="15">
      <c r="A162" s="376" t="s">
        <v>112</v>
      </c>
      <c r="B162" s="378" t="s">
        <v>14</v>
      </c>
      <c r="C162" s="344">
        <f aca="true" t="shared" si="38" ref="C162:N162">SUM(C163+C164+C167+C171)</f>
        <v>1368404</v>
      </c>
      <c r="D162" s="344">
        <f t="shared" si="38"/>
        <v>0</v>
      </c>
      <c r="E162" s="344">
        <f t="shared" si="38"/>
        <v>1416830</v>
      </c>
      <c r="F162" s="344">
        <f t="shared" si="38"/>
        <v>0</v>
      </c>
      <c r="G162" s="344">
        <f t="shared" si="38"/>
        <v>214772</v>
      </c>
      <c r="H162" s="344">
        <f t="shared" si="38"/>
        <v>96005</v>
      </c>
      <c r="I162" s="344">
        <f t="shared" si="38"/>
        <v>124048</v>
      </c>
      <c r="J162" s="344">
        <f t="shared" si="38"/>
        <v>189790</v>
      </c>
      <c r="K162" s="344">
        <f t="shared" si="38"/>
        <v>42129</v>
      </c>
      <c r="L162" s="344">
        <f t="shared" si="38"/>
        <v>37293</v>
      </c>
      <c r="M162" s="344">
        <f t="shared" si="38"/>
        <v>81567</v>
      </c>
      <c r="N162" s="344">
        <f t="shared" si="38"/>
        <v>63713</v>
      </c>
      <c r="O162" s="377">
        <f t="shared" si="33"/>
        <v>3634551</v>
      </c>
    </row>
    <row r="163" spans="1:15" ht="15">
      <c r="A163" s="302" t="s">
        <v>465</v>
      </c>
      <c r="B163" s="245" t="s">
        <v>177</v>
      </c>
      <c r="C163" s="303">
        <f>403186+3481</f>
        <v>406667</v>
      </c>
      <c r="D163" s="214"/>
      <c r="E163" s="214"/>
      <c r="F163" s="303"/>
      <c r="G163" s="308">
        <v>35837</v>
      </c>
      <c r="H163" s="214">
        <v>30931</v>
      </c>
      <c r="I163" s="214">
        <v>14395</v>
      </c>
      <c r="J163" s="214">
        <v>31054</v>
      </c>
      <c r="K163" s="214">
        <v>15331</v>
      </c>
      <c r="L163" s="214">
        <v>14153</v>
      </c>
      <c r="M163" s="214">
        <v>16243</v>
      </c>
      <c r="N163" s="309">
        <v>16700</v>
      </c>
      <c r="O163" s="377">
        <f t="shared" si="33"/>
        <v>581311</v>
      </c>
    </row>
    <row r="164" spans="1:15" ht="15">
      <c r="A164" s="302" t="s">
        <v>536</v>
      </c>
      <c r="B164" s="245" t="s">
        <v>155</v>
      </c>
      <c r="C164" s="303">
        <f aca="true" t="shared" si="39" ref="C164:N164">SUM(C165:C166)</f>
        <v>205456</v>
      </c>
      <c r="D164" s="303">
        <f t="shared" si="39"/>
        <v>0</v>
      </c>
      <c r="E164" s="303">
        <f t="shared" si="39"/>
        <v>0</v>
      </c>
      <c r="F164" s="303">
        <f t="shared" si="39"/>
        <v>0</v>
      </c>
      <c r="G164" s="303">
        <f t="shared" si="39"/>
        <v>0</v>
      </c>
      <c r="H164" s="303">
        <f t="shared" si="39"/>
        <v>0</v>
      </c>
      <c r="I164" s="303">
        <f t="shared" si="39"/>
        <v>0</v>
      </c>
      <c r="J164" s="303">
        <f t="shared" si="39"/>
        <v>0</v>
      </c>
      <c r="K164" s="303">
        <f t="shared" si="39"/>
        <v>0</v>
      </c>
      <c r="L164" s="303">
        <f t="shared" si="39"/>
        <v>0</v>
      </c>
      <c r="M164" s="303">
        <f t="shared" si="39"/>
        <v>11927</v>
      </c>
      <c r="N164" s="303">
        <f t="shared" si="39"/>
        <v>0</v>
      </c>
      <c r="O164" s="377">
        <f t="shared" si="33"/>
        <v>217383</v>
      </c>
    </row>
    <row r="165" spans="1:15" ht="15">
      <c r="A165" s="302" t="s">
        <v>268</v>
      </c>
      <c r="B165" s="245" t="s">
        <v>323</v>
      </c>
      <c r="C165" s="303">
        <f>198636+6820</f>
        <v>205456</v>
      </c>
      <c r="D165" s="214"/>
      <c r="E165" s="214"/>
      <c r="F165" s="303"/>
      <c r="G165" s="214"/>
      <c r="H165" s="214"/>
      <c r="I165" s="214"/>
      <c r="J165" s="214"/>
      <c r="K165" s="214"/>
      <c r="L165" s="214"/>
      <c r="M165" s="214"/>
      <c r="N165" s="307"/>
      <c r="O165" s="377">
        <f t="shared" si="33"/>
        <v>205456</v>
      </c>
    </row>
    <row r="166" spans="1:15" ht="15">
      <c r="A166" s="302" t="s">
        <v>476</v>
      </c>
      <c r="B166" s="284" t="s">
        <v>660</v>
      </c>
      <c r="C166" s="303"/>
      <c r="D166" s="303"/>
      <c r="E166" s="303"/>
      <c r="F166" s="303"/>
      <c r="G166" s="303"/>
      <c r="H166" s="303"/>
      <c r="I166" s="303"/>
      <c r="J166" s="303"/>
      <c r="K166" s="303"/>
      <c r="L166" s="303"/>
      <c r="M166" s="214">
        <v>11927</v>
      </c>
      <c r="N166" s="307"/>
      <c r="O166" s="377">
        <f t="shared" si="33"/>
        <v>11927</v>
      </c>
    </row>
    <row r="167" spans="1:15" ht="15">
      <c r="A167" s="302" t="s">
        <v>113</v>
      </c>
      <c r="B167" s="245" t="s">
        <v>537</v>
      </c>
      <c r="C167" s="303">
        <f aca="true" t="shared" si="40" ref="C167:N167">SUM(C168:C170)</f>
        <v>0</v>
      </c>
      <c r="D167" s="303">
        <f t="shared" si="40"/>
        <v>0</v>
      </c>
      <c r="E167" s="303">
        <f t="shared" si="40"/>
        <v>1416830</v>
      </c>
      <c r="F167" s="303">
        <f t="shared" si="40"/>
        <v>0</v>
      </c>
      <c r="G167" s="303">
        <f t="shared" si="40"/>
        <v>178935</v>
      </c>
      <c r="H167" s="303">
        <f t="shared" si="40"/>
        <v>65074</v>
      </c>
      <c r="I167" s="303">
        <f t="shared" si="40"/>
        <v>108853</v>
      </c>
      <c r="J167" s="303">
        <f t="shared" si="40"/>
        <v>152421</v>
      </c>
      <c r="K167" s="303">
        <f t="shared" si="40"/>
        <v>26498</v>
      </c>
      <c r="L167" s="303">
        <f t="shared" si="40"/>
        <v>22640</v>
      </c>
      <c r="M167" s="303">
        <f t="shared" si="40"/>
        <v>53397</v>
      </c>
      <c r="N167" s="303">
        <f t="shared" si="40"/>
        <v>38513</v>
      </c>
      <c r="O167" s="377">
        <f t="shared" si="33"/>
        <v>2063161</v>
      </c>
    </row>
    <row r="168" spans="1:15" ht="15">
      <c r="A168" s="302" t="s">
        <v>408</v>
      </c>
      <c r="B168" s="245" t="s">
        <v>442</v>
      </c>
      <c r="C168" s="303"/>
      <c r="D168" s="214"/>
      <c r="E168" s="214">
        <f>412469-107854</f>
        <v>304615</v>
      </c>
      <c r="F168" s="303"/>
      <c r="G168" s="308">
        <v>178935</v>
      </c>
      <c r="H168" s="214">
        <v>65074</v>
      </c>
      <c r="I168" s="214">
        <v>90320</v>
      </c>
      <c r="J168" s="214">
        <v>152421</v>
      </c>
      <c r="K168" s="214">
        <v>26498</v>
      </c>
      <c r="L168" s="214">
        <v>22640</v>
      </c>
      <c r="M168" s="214">
        <v>53397</v>
      </c>
      <c r="N168" s="397">
        <v>38513</v>
      </c>
      <c r="O168" s="377">
        <f t="shared" si="33"/>
        <v>932413</v>
      </c>
    </row>
    <row r="169" spans="1:15" ht="15">
      <c r="A169" s="302" t="s">
        <v>477</v>
      </c>
      <c r="B169" s="245" t="s">
        <v>538</v>
      </c>
      <c r="C169" s="303"/>
      <c r="D169" s="214"/>
      <c r="E169" s="214"/>
      <c r="F169" s="303"/>
      <c r="G169" s="308"/>
      <c r="H169" s="214"/>
      <c r="I169" s="214">
        <v>18533</v>
      </c>
      <c r="J169" s="214"/>
      <c r="K169" s="214"/>
      <c r="L169" s="214"/>
      <c r="M169" s="214"/>
      <c r="N169" s="307"/>
      <c r="O169" s="377">
        <f t="shared" si="33"/>
        <v>18533</v>
      </c>
    </row>
    <row r="170" spans="1:15" ht="15">
      <c r="A170" s="302" t="s">
        <v>441</v>
      </c>
      <c r="B170" s="245" t="s">
        <v>156</v>
      </c>
      <c r="C170" s="303"/>
      <c r="D170" s="214"/>
      <c r="E170" s="214">
        <f>1104469+78143-397-70000</f>
        <v>1112215</v>
      </c>
      <c r="F170" s="303"/>
      <c r="G170" s="214"/>
      <c r="H170" s="214"/>
      <c r="I170" s="214"/>
      <c r="J170" s="214"/>
      <c r="K170" s="214"/>
      <c r="L170" s="214"/>
      <c r="M170" s="214"/>
      <c r="N170" s="303"/>
      <c r="O170" s="377">
        <f t="shared" si="33"/>
        <v>1112215</v>
      </c>
    </row>
    <row r="171" spans="1:15" s="453" customFormat="1" ht="14.25">
      <c r="A171" s="376" t="s">
        <v>114</v>
      </c>
      <c r="B171" s="341" t="s">
        <v>269</v>
      </c>
      <c r="C171" s="267">
        <f aca="true" t="shared" si="41" ref="C171:N171">SUM(C172:C180)</f>
        <v>756281</v>
      </c>
      <c r="D171" s="267">
        <f t="shared" si="41"/>
        <v>0</v>
      </c>
      <c r="E171" s="267">
        <f t="shared" si="41"/>
        <v>0</v>
      </c>
      <c r="F171" s="267">
        <f t="shared" si="41"/>
        <v>0</v>
      </c>
      <c r="G171" s="267">
        <f t="shared" si="41"/>
        <v>0</v>
      </c>
      <c r="H171" s="267">
        <f t="shared" si="41"/>
        <v>0</v>
      </c>
      <c r="I171" s="267">
        <f t="shared" si="41"/>
        <v>800</v>
      </c>
      <c r="J171" s="267">
        <f t="shared" si="41"/>
        <v>6315</v>
      </c>
      <c r="K171" s="267">
        <f t="shared" si="41"/>
        <v>300</v>
      </c>
      <c r="L171" s="267">
        <f t="shared" si="41"/>
        <v>500</v>
      </c>
      <c r="M171" s="267">
        <f t="shared" si="41"/>
        <v>0</v>
      </c>
      <c r="N171" s="267">
        <f t="shared" si="41"/>
        <v>8500</v>
      </c>
      <c r="O171" s="377">
        <f t="shared" si="33"/>
        <v>772696</v>
      </c>
    </row>
    <row r="172" spans="1:15" ht="15">
      <c r="A172" s="302" t="s">
        <v>270</v>
      </c>
      <c r="B172" s="284" t="s">
        <v>409</v>
      </c>
      <c r="C172" s="380">
        <f>78885+15000-3152</f>
        <v>90733</v>
      </c>
      <c r="D172" s="214"/>
      <c r="E172" s="214"/>
      <c r="F172" s="303"/>
      <c r="G172" s="214"/>
      <c r="H172" s="214"/>
      <c r="I172" s="214"/>
      <c r="J172" s="214"/>
      <c r="K172" s="214"/>
      <c r="L172" s="214"/>
      <c r="M172" s="214"/>
      <c r="N172" s="303">
        <v>7500</v>
      </c>
      <c r="O172" s="377">
        <f t="shared" si="33"/>
        <v>98233</v>
      </c>
    </row>
    <row r="173" spans="1:15" ht="15">
      <c r="A173" s="302" t="s">
        <v>271</v>
      </c>
      <c r="B173" s="284" t="s">
        <v>157</v>
      </c>
      <c r="C173" s="303">
        <f>158278+135051</f>
        <v>293329</v>
      </c>
      <c r="D173" s="214"/>
      <c r="E173" s="214"/>
      <c r="F173" s="303"/>
      <c r="G173" s="214"/>
      <c r="H173" s="214"/>
      <c r="I173" s="214"/>
      <c r="J173" s="214"/>
      <c r="K173" s="214"/>
      <c r="L173" s="214"/>
      <c r="M173" s="214"/>
      <c r="N173" s="303"/>
      <c r="O173" s="377">
        <f t="shared" si="33"/>
        <v>293329</v>
      </c>
    </row>
    <row r="174" spans="1:15" ht="30">
      <c r="A174" s="302" t="s">
        <v>431</v>
      </c>
      <c r="B174" s="284" t="s">
        <v>664</v>
      </c>
      <c r="C174" s="380">
        <f>20000-8915</f>
        <v>11085</v>
      </c>
      <c r="D174" s="214"/>
      <c r="E174" s="214"/>
      <c r="F174" s="303"/>
      <c r="G174" s="214"/>
      <c r="H174" s="214"/>
      <c r="I174" s="214">
        <v>800</v>
      </c>
      <c r="J174" s="214">
        <v>6315</v>
      </c>
      <c r="K174" s="214">
        <v>300</v>
      </c>
      <c r="L174" s="214">
        <v>500</v>
      </c>
      <c r="M174" s="214"/>
      <c r="N174" s="303">
        <v>1000</v>
      </c>
      <c r="O174" s="377">
        <f t="shared" si="33"/>
        <v>20000</v>
      </c>
    </row>
    <row r="175" spans="1:15" ht="30">
      <c r="A175" s="192" t="s">
        <v>437</v>
      </c>
      <c r="B175" s="190" t="s">
        <v>539</v>
      </c>
      <c r="C175" s="303">
        <f>167444-369</f>
        <v>167075</v>
      </c>
      <c r="D175" s="214"/>
      <c r="E175" s="214"/>
      <c r="F175" s="303"/>
      <c r="G175" s="214"/>
      <c r="H175" s="214"/>
      <c r="I175" s="214"/>
      <c r="J175" s="214"/>
      <c r="K175" s="214"/>
      <c r="L175" s="214"/>
      <c r="M175" s="214"/>
      <c r="N175" s="303"/>
      <c r="O175" s="377">
        <f t="shared" si="33"/>
        <v>167075</v>
      </c>
    </row>
    <row r="176" spans="1:15" ht="45">
      <c r="A176" s="302" t="s">
        <v>352</v>
      </c>
      <c r="B176" s="416" t="s">
        <v>665</v>
      </c>
      <c r="C176" s="303">
        <v>20000</v>
      </c>
      <c r="D176" s="214"/>
      <c r="E176" s="214"/>
      <c r="F176" s="303"/>
      <c r="G176" s="214"/>
      <c r="H176" s="214"/>
      <c r="I176" s="214"/>
      <c r="J176" s="214"/>
      <c r="K176" s="214"/>
      <c r="L176" s="214"/>
      <c r="M176" s="214"/>
      <c r="N176" s="303"/>
      <c r="O176" s="377">
        <f t="shared" si="33"/>
        <v>20000</v>
      </c>
    </row>
    <row r="177" spans="1:15" ht="47.25">
      <c r="A177" s="192" t="s">
        <v>540</v>
      </c>
      <c r="B177" s="196" t="s">
        <v>666</v>
      </c>
      <c r="C177" s="303">
        <v>53540</v>
      </c>
      <c r="D177" s="214"/>
      <c r="E177" s="214"/>
      <c r="F177" s="303"/>
      <c r="G177" s="214"/>
      <c r="H177" s="214"/>
      <c r="I177" s="214"/>
      <c r="J177" s="214"/>
      <c r="K177" s="214"/>
      <c r="L177" s="214"/>
      <c r="M177" s="214"/>
      <c r="N177" s="303"/>
      <c r="O177" s="377">
        <f t="shared" si="33"/>
        <v>53540</v>
      </c>
    </row>
    <row r="178" spans="1:15" ht="45">
      <c r="A178" s="192" t="s">
        <v>587</v>
      </c>
      <c r="B178" s="251" t="s">
        <v>586</v>
      </c>
      <c r="C178" s="303">
        <f>53875+12294</f>
        <v>66169</v>
      </c>
      <c r="D178" s="214"/>
      <c r="E178" s="214"/>
      <c r="F178" s="303"/>
      <c r="G178" s="214"/>
      <c r="H178" s="214"/>
      <c r="I178" s="214"/>
      <c r="J178" s="214"/>
      <c r="K178" s="214"/>
      <c r="L178" s="214"/>
      <c r="M178" s="214"/>
      <c r="N178" s="303"/>
      <c r="O178" s="377">
        <f t="shared" si="33"/>
        <v>66169</v>
      </c>
    </row>
    <row r="179" spans="1:15" ht="30">
      <c r="A179" s="192" t="s">
        <v>709</v>
      </c>
      <c r="B179" s="251" t="s">
        <v>710</v>
      </c>
      <c r="C179" s="303">
        <v>51750</v>
      </c>
      <c r="D179" s="214"/>
      <c r="E179" s="214"/>
      <c r="F179" s="303"/>
      <c r="G179" s="214"/>
      <c r="H179" s="214"/>
      <c r="I179" s="214"/>
      <c r="J179" s="214"/>
      <c r="K179" s="214"/>
      <c r="L179" s="214"/>
      <c r="M179" s="214"/>
      <c r="N179" s="303"/>
      <c r="O179" s="377">
        <f t="shared" si="33"/>
        <v>51750</v>
      </c>
    </row>
    <row r="180" spans="1:15" ht="30">
      <c r="A180" s="192" t="s">
        <v>805</v>
      </c>
      <c r="B180" s="251" t="s">
        <v>946</v>
      </c>
      <c r="C180" s="303">
        <v>2600</v>
      </c>
      <c r="D180" s="303"/>
      <c r="E180" s="303"/>
      <c r="F180" s="303"/>
      <c r="G180" s="303"/>
      <c r="H180" s="303"/>
      <c r="I180" s="303"/>
      <c r="J180" s="303"/>
      <c r="K180" s="303"/>
      <c r="L180" s="303"/>
      <c r="M180" s="303"/>
      <c r="N180" s="303"/>
      <c r="O180" s="377">
        <f t="shared" si="33"/>
        <v>2600</v>
      </c>
    </row>
    <row r="181" spans="1:15" ht="15">
      <c r="A181" s="376" t="s">
        <v>443</v>
      </c>
      <c r="B181" s="417" t="s">
        <v>444</v>
      </c>
      <c r="C181" s="303">
        <f aca="true" t="shared" si="42" ref="C181:N181">SUM(C182:C183)</f>
        <v>133124</v>
      </c>
      <c r="D181" s="303">
        <f t="shared" si="42"/>
        <v>0</v>
      </c>
      <c r="E181" s="303">
        <f t="shared" si="42"/>
        <v>0</v>
      </c>
      <c r="F181" s="303">
        <f t="shared" si="42"/>
        <v>0</v>
      </c>
      <c r="G181" s="303">
        <f t="shared" si="42"/>
        <v>0</v>
      </c>
      <c r="H181" s="303">
        <f t="shared" si="42"/>
        <v>0</v>
      </c>
      <c r="I181" s="303">
        <f t="shared" si="42"/>
        <v>3760</v>
      </c>
      <c r="J181" s="303">
        <f t="shared" si="42"/>
        <v>1789</v>
      </c>
      <c r="K181" s="303">
        <f t="shared" si="42"/>
        <v>0</v>
      </c>
      <c r="L181" s="303">
        <f t="shared" si="42"/>
        <v>0</v>
      </c>
      <c r="M181" s="303">
        <f t="shared" si="42"/>
        <v>0</v>
      </c>
      <c r="N181" s="303">
        <f t="shared" si="42"/>
        <v>0</v>
      </c>
      <c r="O181" s="377">
        <f t="shared" si="33"/>
        <v>138673</v>
      </c>
    </row>
    <row r="182" spans="1:15" ht="15">
      <c r="A182" s="191" t="s">
        <v>478</v>
      </c>
      <c r="B182" s="341" t="s">
        <v>115</v>
      </c>
      <c r="C182" s="418">
        <v>60000</v>
      </c>
      <c r="D182" s="267"/>
      <c r="E182" s="267"/>
      <c r="F182" s="344"/>
      <c r="G182" s="214"/>
      <c r="H182" s="214"/>
      <c r="I182" s="214"/>
      <c r="J182" s="214"/>
      <c r="K182" s="214"/>
      <c r="L182" s="214"/>
      <c r="M182" s="214"/>
      <c r="N182" s="303"/>
      <c r="O182" s="377">
        <f t="shared" si="33"/>
        <v>60000</v>
      </c>
    </row>
    <row r="183" spans="1:15" ht="29.25">
      <c r="A183" s="191" t="s">
        <v>479</v>
      </c>
      <c r="B183" s="341" t="s">
        <v>116</v>
      </c>
      <c r="C183" s="344">
        <v>73124</v>
      </c>
      <c r="D183" s="267"/>
      <c r="E183" s="267"/>
      <c r="F183" s="344"/>
      <c r="G183" s="214"/>
      <c r="H183" s="214"/>
      <c r="I183" s="214">
        <v>3760</v>
      </c>
      <c r="J183" s="214">
        <v>1789</v>
      </c>
      <c r="K183" s="214"/>
      <c r="L183" s="214"/>
      <c r="M183" s="214"/>
      <c r="N183" s="303"/>
      <c r="O183" s="377">
        <f t="shared" si="33"/>
        <v>78673</v>
      </c>
    </row>
    <row r="184" spans="1:15" ht="44.25" thickBot="1">
      <c r="A184" s="199" t="s">
        <v>893</v>
      </c>
      <c r="B184" s="419" t="s">
        <v>895</v>
      </c>
      <c r="C184" s="394">
        <f>15000+1163</f>
        <v>16163</v>
      </c>
      <c r="D184" s="420"/>
      <c r="E184" s="420"/>
      <c r="F184" s="394"/>
      <c r="G184" s="330"/>
      <c r="H184" s="330"/>
      <c r="I184" s="330"/>
      <c r="J184" s="330"/>
      <c r="K184" s="330"/>
      <c r="L184" s="330"/>
      <c r="M184" s="330"/>
      <c r="N184" s="331"/>
      <c r="O184" s="377">
        <f t="shared" si="33"/>
        <v>16163</v>
      </c>
    </row>
    <row r="185" spans="1:15" ht="15.75" thickBot="1">
      <c r="A185" s="421" t="s">
        <v>117</v>
      </c>
      <c r="B185" s="406" t="s">
        <v>8</v>
      </c>
      <c r="C185" s="295">
        <f aca="true" t="shared" si="43" ref="C185:N185">C186+C196+C197+C208+C215+C219+C220</f>
        <v>17362873</v>
      </c>
      <c r="D185" s="295">
        <f t="shared" si="43"/>
        <v>0</v>
      </c>
      <c r="E185" s="295">
        <f t="shared" si="43"/>
        <v>0</v>
      </c>
      <c r="F185" s="295">
        <f t="shared" si="43"/>
        <v>0</v>
      </c>
      <c r="G185" s="295">
        <f t="shared" si="43"/>
        <v>1614353</v>
      </c>
      <c r="H185" s="295">
        <f t="shared" si="43"/>
        <v>0</v>
      </c>
      <c r="I185" s="295">
        <f t="shared" si="43"/>
        <v>468768</v>
      </c>
      <c r="J185" s="295">
        <f t="shared" si="43"/>
        <v>1409334</v>
      </c>
      <c r="K185" s="295">
        <f t="shared" si="43"/>
        <v>33680</v>
      </c>
      <c r="L185" s="295">
        <f t="shared" si="43"/>
        <v>24040</v>
      </c>
      <c r="M185" s="295">
        <f t="shared" si="43"/>
        <v>38286</v>
      </c>
      <c r="N185" s="295">
        <f t="shared" si="43"/>
        <v>633107</v>
      </c>
      <c r="O185" s="297">
        <f t="shared" si="33"/>
        <v>21584441</v>
      </c>
    </row>
    <row r="186" spans="1:15" ht="15">
      <c r="A186" s="369" t="s">
        <v>118</v>
      </c>
      <c r="B186" s="370" t="s">
        <v>273</v>
      </c>
      <c r="C186" s="371">
        <f>SUM(C187:C195)</f>
        <v>4973142</v>
      </c>
      <c r="D186" s="371">
        <f aca="true" t="shared" si="44" ref="D186:N186">SUM(D187:D195)</f>
        <v>0</v>
      </c>
      <c r="E186" s="371">
        <f t="shared" si="44"/>
        <v>0</v>
      </c>
      <c r="F186" s="371">
        <f t="shared" si="44"/>
        <v>0</v>
      </c>
      <c r="G186" s="371">
        <f t="shared" si="44"/>
        <v>0</v>
      </c>
      <c r="H186" s="371">
        <f t="shared" si="44"/>
        <v>0</v>
      </c>
      <c r="I186" s="371">
        <f t="shared" si="44"/>
        <v>0</v>
      </c>
      <c r="J186" s="371">
        <f t="shared" si="44"/>
        <v>369284</v>
      </c>
      <c r="K186" s="371">
        <f t="shared" si="44"/>
        <v>0</v>
      </c>
      <c r="L186" s="371">
        <f t="shared" si="44"/>
        <v>0</v>
      </c>
      <c r="M186" s="371">
        <f t="shared" si="44"/>
        <v>0</v>
      </c>
      <c r="N186" s="371">
        <f t="shared" si="44"/>
        <v>0</v>
      </c>
      <c r="O186" s="407">
        <f t="shared" si="33"/>
        <v>5342426</v>
      </c>
    </row>
    <row r="187" spans="1:15" ht="15">
      <c r="A187" s="302" t="s">
        <v>274</v>
      </c>
      <c r="B187" s="245" t="s">
        <v>119</v>
      </c>
      <c r="C187" s="303">
        <f>850445-135+49270</f>
        <v>899580</v>
      </c>
      <c r="D187" s="214"/>
      <c r="E187" s="214"/>
      <c r="F187" s="303"/>
      <c r="G187" s="214"/>
      <c r="H187" s="214"/>
      <c r="I187" s="214"/>
      <c r="J187" s="214"/>
      <c r="K187" s="214"/>
      <c r="L187" s="214"/>
      <c r="M187" s="214"/>
      <c r="N187" s="303"/>
      <c r="O187" s="377">
        <f t="shared" si="33"/>
        <v>899580</v>
      </c>
    </row>
    <row r="188" spans="1:15" ht="15">
      <c r="A188" s="302" t="s">
        <v>275</v>
      </c>
      <c r="B188" s="245" t="s">
        <v>120</v>
      </c>
      <c r="C188" s="303">
        <f>626427+28768</f>
        <v>655195</v>
      </c>
      <c r="D188" s="214"/>
      <c r="E188" s="214"/>
      <c r="F188" s="303"/>
      <c r="G188" s="214"/>
      <c r="H188" s="214"/>
      <c r="I188" s="214"/>
      <c r="J188" s="214"/>
      <c r="K188" s="214"/>
      <c r="L188" s="214"/>
      <c r="M188" s="214"/>
      <c r="N188" s="303"/>
      <c r="O188" s="377">
        <f t="shared" si="33"/>
        <v>655195</v>
      </c>
    </row>
    <row r="189" spans="1:15" ht="15">
      <c r="A189" s="302" t="s">
        <v>276</v>
      </c>
      <c r="B189" s="245" t="s">
        <v>121</v>
      </c>
      <c r="C189" s="303">
        <f>655765+2544+48732</f>
        <v>707041</v>
      </c>
      <c r="D189" s="214"/>
      <c r="E189" s="214"/>
      <c r="F189" s="303"/>
      <c r="G189" s="214"/>
      <c r="H189" s="214"/>
      <c r="I189" s="214"/>
      <c r="J189" s="214"/>
      <c r="K189" s="214"/>
      <c r="L189" s="214"/>
      <c r="M189" s="214"/>
      <c r="N189" s="303"/>
      <c r="O189" s="377">
        <f t="shared" si="33"/>
        <v>707041</v>
      </c>
    </row>
    <row r="190" spans="1:15" ht="15">
      <c r="A190" s="302" t="s">
        <v>277</v>
      </c>
      <c r="B190" s="245" t="s">
        <v>122</v>
      </c>
      <c r="C190" s="303">
        <f>727519+45964</f>
        <v>773483</v>
      </c>
      <c r="D190" s="214"/>
      <c r="E190" s="214"/>
      <c r="F190" s="303"/>
      <c r="G190" s="214"/>
      <c r="H190" s="214"/>
      <c r="I190" s="214"/>
      <c r="J190" s="214"/>
      <c r="K190" s="214"/>
      <c r="L190" s="214"/>
      <c r="M190" s="214"/>
      <c r="N190" s="303"/>
      <c r="O190" s="377">
        <f t="shared" si="33"/>
        <v>773483</v>
      </c>
    </row>
    <row r="191" spans="1:15" ht="15">
      <c r="A191" s="302" t="s">
        <v>278</v>
      </c>
      <c r="B191" s="245" t="s">
        <v>123</v>
      </c>
      <c r="C191" s="303">
        <f>411221+56137+18560</f>
        <v>485918</v>
      </c>
      <c r="D191" s="214"/>
      <c r="E191" s="214"/>
      <c r="F191" s="303"/>
      <c r="G191" s="214"/>
      <c r="H191" s="214"/>
      <c r="I191" s="214"/>
      <c r="J191" s="214"/>
      <c r="K191" s="214"/>
      <c r="L191" s="214"/>
      <c r="M191" s="214"/>
      <c r="N191" s="303"/>
      <c r="O191" s="377">
        <f t="shared" si="33"/>
        <v>485918</v>
      </c>
    </row>
    <row r="192" spans="1:15" ht="15">
      <c r="A192" s="302" t="s">
        <v>279</v>
      </c>
      <c r="B192" s="245" t="s">
        <v>158</v>
      </c>
      <c r="C192" s="303">
        <f>783775+35051</f>
        <v>818826</v>
      </c>
      <c r="D192" s="214"/>
      <c r="E192" s="214"/>
      <c r="F192" s="303"/>
      <c r="G192" s="214"/>
      <c r="H192" s="214"/>
      <c r="I192" s="214"/>
      <c r="J192" s="214"/>
      <c r="K192" s="214"/>
      <c r="L192" s="214"/>
      <c r="M192" s="214"/>
      <c r="N192" s="303"/>
      <c r="O192" s="377">
        <f t="shared" si="33"/>
        <v>818826</v>
      </c>
    </row>
    <row r="193" spans="1:15" ht="15">
      <c r="A193" s="302" t="s">
        <v>280</v>
      </c>
      <c r="B193" s="245" t="s">
        <v>178</v>
      </c>
      <c r="C193" s="303">
        <f>402890+15209</f>
        <v>418099</v>
      </c>
      <c r="D193" s="303"/>
      <c r="E193" s="303"/>
      <c r="F193" s="303"/>
      <c r="G193" s="214"/>
      <c r="H193" s="214"/>
      <c r="I193" s="214"/>
      <c r="J193" s="303"/>
      <c r="K193" s="303"/>
      <c r="L193" s="303"/>
      <c r="M193" s="303"/>
      <c r="N193" s="303"/>
      <c r="O193" s="377">
        <f t="shared" si="33"/>
        <v>418099</v>
      </c>
    </row>
    <row r="194" spans="1:15" ht="15">
      <c r="A194" s="302" t="s">
        <v>281</v>
      </c>
      <c r="B194" s="245" t="s">
        <v>179</v>
      </c>
      <c r="C194" s="303"/>
      <c r="D194" s="303"/>
      <c r="E194" s="303"/>
      <c r="F194" s="303"/>
      <c r="G194" s="214"/>
      <c r="H194" s="214"/>
      <c r="I194" s="214"/>
      <c r="J194" s="71">
        <v>369284</v>
      </c>
      <c r="K194" s="303"/>
      <c r="L194" s="303"/>
      <c r="M194" s="303"/>
      <c r="N194" s="303"/>
      <c r="O194" s="377">
        <f t="shared" si="33"/>
        <v>369284</v>
      </c>
    </row>
    <row r="195" spans="1:15" ht="30">
      <c r="A195" s="302" t="s">
        <v>282</v>
      </c>
      <c r="B195" s="245" t="s">
        <v>667</v>
      </c>
      <c r="C195" s="303">
        <f>180000+35000</f>
        <v>215000</v>
      </c>
      <c r="D195" s="303"/>
      <c r="E195" s="303"/>
      <c r="F195" s="303"/>
      <c r="G195" s="214"/>
      <c r="H195" s="214"/>
      <c r="I195" s="214"/>
      <c r="J195" s="303"/>
      <c r="K195" s="303"/>
      <c r="L195" s="303"/>
      <c r="M195" s="303"/>
      <c r="N195" s="345"/>
      <c r="O195" s="377">
        <f>SUM(C195:N195)</f>
        <v>215000</v>
      </c>
    </row>
    <row r="196" spans="1:15" ht="15">
      <c r="A196" s="376" t="s">
        <v>125</v>
      </c>
      <c r="B196" s="341" t="s">
        <v>283</v>
      </c>
      <c r="C196" s="303">
        <f>1126647-81591+327258+12150</f>
        <v>1384464</v>
      </c>
      <c r="D196" s="303"/>
      <c r="E196" s="303"/>
      <c r="F196" s="303"/>
      <c r="G196" s="308"/>
      <c r="H196" s="303"/>
      <c r="I196" s="303"/>
      <c r="J196" s="303"/>
      <c r="K196" s="303"/>
      <c r="L196" s="303"/>
      <c r="M196" s="303"/>
      <c r="N196" s="303"/>
      <c r="O196" s="377">
        <f>SUM(C196:N196)</f>
        <v>1384464</v>
      </c>
    </row>
    <row r="197" spans="1:15" ht="29.25">
      <c r="A197" s="376" t="s">
        <v>182</v>
      </c>
      <c r="B197" s="341" t="s">
        <v>284</v>
      </c>
      <c r="C197" s="344">
        <f>SUM(C198:C207)</f>
        <v>6079749</v>
      </c>
      <c r="D197" s="344">
        <f aca="true" t="shared" si="45" ref="D197:N197">SUM(D198:D207)</f>
        <v>0</v>
      </c>
      <c r="E197" s="344">
        <f t="shared" si="45"/>
        <v>0</v>
      </c>
      <c r="F197" s="344">
        <f t="shared" si="45"/>
        <v>0</v>
      </c>
      <c r="G197" s="344">
        <f t="shared" si="45"/>
        <v>1490128</v>
      </c>
      <c r="H197" s="344">
        <f t="shared" si="45"/>
        <v>0</v>
      </c>
      <c r="I197" s="344">
        <f t="shared" si="45"/>
        <v>444293</v>
      </c>
      <c r="J197" s="344">
        <f t="shared" si="45"/>
        <v>706307</v>
      </c>
      <c r="K197" s="344">
        <f t="shared" si="45"/>
        <v>0</v>
      </c>
      <c r="L197" s="344">
        <f t="shared" si="45"/>
        <v>2080</v>
      </c>
      <c r="M197" s="344">
        <f t="shared" si="45"/>
        <v>23639</v>
      </c>
      <c r="N197" s="344">
        <f t="shared" si="45"/>
        <v>614296</v>
      </c>
      <c r="O197" s="377">
        <f aca="true" t="shared" si="46" ref="O197:O252">SUM(C197:N197)</f>
        <v>9360492</v>
      </c>
    </row>
    <row r="198" spans="1:15" ht="15">
      <c r="A198" s="302" t="s">
        <v>285</v>
      </c>
      <c r="B198" s="245" t="s">
        <v>126</v>
      </c>
      <c r="C198" s="303">
        <f>2108933-87284+670725+15662</f>
        <v>2708036</v>
      </c>
      <c r="D198" s="214"/>
      <c r="E198" s="214"/>
      <c r="F198" s="303"/>
      <c r="G198" s="214"/>
      <c r="H198" s="214"/>
      <c r="I198" s="214"/>
      <c r="J198" s="214"/>
      <c r="K198" s="214"/>
      <c r="L198" s="214"/>
      <c r="M198" s="214"/>
      <c r="N198" s="303"/>
      <c r="O198" s="377">
        <f t="shared" si="46"/>
        <v>2708036</v>
      </c>
    </row>
    <row r="199" spans="1:15" ht="15">
      <c r="A199" s="302" t="s">
        <v>286</v>
      </c>
      <c r="B199" s="245" t="s">
        <v>287</v>
      </c>
      <c r="C199" s="303">
        <f>1074301+9755+301281+14532</f>
        <v>1399869</v>
      </c>
      <c r="D199" s="214"/>
      <c r="E199" s="214"/>
      <c r="F199" s="303"/>
      <c r="G199" s="214"/>
      <c r="H199" s="214"/>
      <c r="I199" s="214"/>
      <c r="J199" s="214"/>
      <c r="K199" s="214"/>
      <c r="L199" s="214"/>
      <c r="M199" s="214"/>
      <c r="N199" s="303"/>
      <c r="O199" s="377">
        <f t="shared" si="46"/>
        <v>1399869</v>
      </c>
    </row>
    <row r="200" spans="1:15" ht="15">
      <c r="A200" s="302" t="s">
        <v>288</v>
      </c>
      <c r="B200" s="245" t="s">
        <v>127</v>
      </c>
      <c r="C200" s="303">
        <f>1096137-37546+296709+19052</f>
        <v>1374352</v>
      </c>
      <c r="D200" s="214"/>
      <c r="E200" s="214"/>
      <c r="F200" s="303"/>
      <c r="G200" s="214"/>
      <c r="H200" s="214"/>
      <c r="I200" s="214"/>
      <c r="J200" s="214"/>
      <c r="K200" s="214"/>
      <c r="L200" s="214"/>
      <c r="M200" s="214"/>
      <c r="N200" s="303"/>
      <c r="O200" s="377">
        <f t="shared" si="46"/>
        <v>1374352</v>
      </c>
    </row>
    <row r="201" spans="1:15" ht="15">
      <c r="A201" s="302" t="s">
        <v>289</v>
      </c>
      <c r="B201" s="245" t="s">
        <v>128</v>
      </c>
      <c r="C201" s="303">
        <f>414116+1659+105541+6136</f>
        <v>527452</v>
      </c>
      <c r="D201" s="214"/>
      <c r="E201" s="214"/>
      <c r="F201" s="303"/>
      <c r="G201" s="214"/>
      <c r="H201" s="214"/>
      <c r="I201" s="214"/>
      <c r="J201" s="214"/>
      <c r="K201" s="214"/>
      <c r="L201" s="214"/>
      <c r="M201" s="214"/>
      <c r="N201" s="303"/>
      <c r="O201" s="377">
        <f t="shared" si="46"/>
        <v>527452</v>
      </c>
    </row>
    <row r="202" spans="1:15" ht="15">
      <c r="A202" s="302" t="s">
        <v>290</v>
      </c>
      <c r="B202" s="245" t="s">
        <v>180</v>
      </c>
      <c r="C202" s="303"/>
      <c r="D202" s="214"/>
      <c r="E202" s="214"/>
      <c r="F202" s="303"/>
      <c r="G202" s="214"/>
      <c r="H202" s="214"/>
      <c r="I202" s="214">
        <v>444293</v>
      </c>
      <c r="J202" s="303"/>
      <c r="K202" s="303"/>
      <c r="L202" s="303"/>
      <c r="M202" s="303"/>
      <c r="N202" s="303"/>
      <c r="O202" s="377">
        <f t="shared" si="46"/>
        <v>444293</v>
      </c>
    </row>
    <row r="203" spans="1:15" ht="15">
      <c r="A203" s="302" t="s">
        <v>291</v>
      </c>
      <c r="B203" s="245" t="s">
        <v>181</v>
      </c>
      <c r="C203" s="303"/>
      <c r="D203" s="214"/>
      <c r="E203" s="214"/>
      <c r="F203" s="303"/>
      <c r="G203" s="214"/>
      <c r="H203" s="214"/>
      <c r="I203" s="214"/>
      <c r="J203" s="214">
        <v>706307</v>
      </c>
      <c r="K203" s="303"/>
      <c r="L203" s="303"/>
      <c r="M203" s="303"/>
      <c r="N203" s="303"/>
      <c r="O203" s="377">
        <f t="shared" si="46"/>
        <v>706307</v>
      </c>
    </row>
    <row r="204" spans="1:15" ht="15">
      <c r="A204" s="302" t="s">
        <v>292</v>
      </c>
      <c r="B204" s="245" t="s">
        <v>333</v>
      </c>
      <c r="C204" s="303"/>
      <c r="D204" s="214"/>
      <c r="E204" s="214"/>
      <c r="F204" s="303"/>
      <c r="G204" s="214"/>
      <c r="H204" s="214"/>
      <c r="I204" s="214"/>
      <c r="J204" s="303"/>
      <c r="K204" s="303"/>
      <c r="L204" s="303">
        <v>2080</v>
      </c>
      <c r="M204" s="214">
        <v>23639</v>
      </c>
      <c r="N204" s="309">
        <v>614296</v>
      </c>
      <c r="O204" s="377">
        <f t="shared" si="46"/>
        <v>640015</v>
      </c>
    </row>
    <row r="205" spans="1:15" ht="15">
      <c r="A205" s="302" t="s">
        <v>293</v>
      </c>
      <c r="B205" s="245" t="s">
        <v>183</v>
      </c>
      <c r="C205" s="303"/>
      <c r="D205" s="214"/>
      <c r="E205" s="214"/>
      <c r="F205" s="303"/>
      <c r="G205" s="308">
        <v>1135516</v>
      </c>
      <c r="H205" s="214"/>
      <c r="I205" s="214"/>
      <c r="J205" s="303"/>
      <c r="K205" s="303"/>
      <c r="L205" s="303"/>
      <c r="M205" s="303"/>
      <c r="N205" s="303"/>
      <c r="O205" s="377">
        <f t="shared" si="46"/>
        <v>1135516</v>
      </c>
    </row>
    <row r="206" spans="1:15" ht="15">
      <c r="A206" s="302" t="s">
        <v>294</v>
      </c>
      <c r="B206" s="245" t="s">
        <v>668</v>
      </c>
      <c r="C206" s="303"/>
      <c r="D206" s="303"/>
      <c r="E206" s="303"/>
      <c r="F206" s="303"/>
      <c r="G206" s="308">
        <v>354612</v>
      </c>
      <c r="H206" s="214"/>
      <c r="I206" s="214"/>
      <c r="J206" s="303"/>
      <c r="K206" s="303"/>
      <c r="L206" s="303"/>
      <c r="M206" s="303"/>
      <c r="N206" s="303"/>
      <c r="O206" s="377">
        <f t="shared" si="46"/>
        <v>354612</v>
      </c>
    </row>
    <row r="207" spans="1:15" ht="31.5" customHeight="1">
      <c r="A207" s="401" t="s">
        <v>931</v>
      </c>
      <c r="B207" s="245" t="s">
        <v>930</v>
      </c>
      <c r="C207" s="303">
        <v>70040</v>
      </c>
      <c r="D207" s="303"/>
      <c r="E207" s="303"/>
      <c r="F207" s="303"/>
      <c r="G207" s="541"/>
      <c r="H207" s="303"/>
      <c r="I207" s="303"/>
      <c r="J207" s="303"/>
      <c r="K207" s="303"/>
      <c r="L207" s="303"/>
      <c r="M207" s="303"/>
      <c r="N207" s="303"/>
      <c r="O207" s="377">
        <f t="shared" si="46"/>
        <v>70040</v>
      </c>
    </row>
    <row r="208" spans="1:15" ht="15" customHeight="1">
      <c r="A208" s="376" t="s">
        <v>129</v>
      </c>
      <c r="B208" s="341" t="s">
        <v>130</v>
      </c>
      <c r="C208" s="344">
        <f>SUM(C209:C214)</f>
        <v>2533229</v>
      </c>
      <c r="D208" s="344">
        <f aca="true" t="shared" si="47" ref="D208:N208">SUM(D209:D214)</f>
        <v>0</v>
      </c>
      <c r="E208" s="344">
        <f t="shared" si="47"/>
        <v>0</v>
      </c>
      <c r="F208" s="344">
        <f t="shared" si="47"/>
        <v>0</v>
      </c>
      <c r="G208" s="344">
        <f t="shared" si="47"/>
        <v>0</v>
      </c>
      <c r="H208" s="344">
        <f t="shared" si="47"/>
        <v>0</v>
      </c>
      <c r="I208" s="344">
        <f t="shared" si="47"/>
        <v>0</v>
      </c>
      <c r="J208" s="344">
        <f t="shared" si="47"/>
        <v>207916</v>
      </c>
      <c r="K208" s="344">
        <f t="shared" si="47"/>
        <v>0</v>
      </c>
      <c r="L208" s="344">
        <f t="shared" si="47"/>
        <v>0</v>
      </c>
      <c r="M208" s="344">
        <f t="shared" si="47"/>
        <v>0</v>
      </c>
      <c r="N208" s="344">
        <f t="shared" si="47"/>
        <v>0</v>
      </c>
      <c r="O208" s="377">
        <f t="shared" si="46"/>
        <v>2741145</v>
      </c>
    </row>
    <row r="209" spans="1:15" ht="15">
      <c r="A209" s="302" t="s">
        <v>295</v>
      </c>
      <c r="B209" s="245" t="s">
        <v>17</v>
      </c>
      <c r="C209" s="303">
        <f>696096+113668+15500+4301</f>
        <v>829565</v>
      </c>
      <c r="D209" s="214"/>
      <c r="E209" s="214"/>
      <c r="F209" s="303"/>
      <c r="G209" s="214"/>
      <c r="H209" s="214"/>
      <c r="I209" s="214"/>
      <c r="J209" s="214"/>
      <c r="K209" s="214"/>
      <c r="L209" s="214"/>
      <c r="M209" s="214"/>
      <c r="N209" s="303"/>
      <c r="O209" s="377">
        <f t="shared" si="46"/>
        <v>829565</v>
      </c>
    </row>
    <row r="210" spans="1:15" ht="15">
      <c r="A210" s="302" t="s">
        <v>296</v>
      </c>
      <c r="B210" s="245" t="s">
        <v>149</v>
      </c>
      <c r="C210" s="303">
        <f>320669+2499</f>
        <v>323168</v>
      </c>
      <c r="D210" s="214"/>
      <c r="E210" s="214"/>
      <c r="F210" s="303"/>
      <c r="G210" s="214"/>
      <c r="H210" s="214"/>
      <c r="I210" s="214"/>
      <c r="J210" s="214"/>
      <c r="K210" s="214"/>
      <c r="L210" s="214"/>
      <c r="M210" s="214"/>
      <c r="N210" s="303"/>
      <c r="O210" s="377">
        <f t="shared" si="46"/>
        <v>323168</v>
      </c>
    </row>
    <row r="211" spans="1:15" ht="15">
      <c r="A211" s="302" t="s">
        <v>297</v>
      </c>
      <c r="B211" s="245" t="s">
        <v>131</v>
      </c>
      <c r="C211" s="303">
        <f>861360-171699-134000-794</f>
        <v>554867</v>
      </c>
      <c r="D211" s="214"/>
      <c r="E211" s="214"/>
      <c r="F211" s="303"/>
      <c r="G211" s="214"/>
      <c r="H211" s="214"/>
      <c r="I211" s="214"/>
      <c r="J211" s="214"/>
      <c r="K211" s="214"/>
      <c r="L211" s="214"/>
      <c r="M211" s="214"/>
      <c r="N211" s="303"/>
      <c r="O211" s="377">
        <f t="shared" si="46"/>
        <v>554867</v>
      </c>
    </row>
    <row r="212" spans="1:15" ht="15">
      <c r="A212" s="302" t="s">
        <v>298</v>
      </c>
      <c r="B212" s="245" t="s">
        <v>132</v>
      </c>
      <c r="C212" s="303">
        <f>498688-146304-39900</f>
        <v>312484</v>
      </c>
      <c r="D212" s="214"/>
      <c r="E212" s="214"/>
      <c r="F212" s="303"/>
      <c r="G212" s="214"/>
      <c r="H212" s="214"/>
      <c r="I212" s="214"/>
      <c r="J212" s="214"/>
      <c r="K212" s="214"/>
      <c r="L212" s="214"/>
      <c r="M212" s="214"/>
      <c r="N212" s="303"/>
      <c r="O212" s="377">
        <f t="shared" si="46"/>
        <v>312484</v>
      </c>
    </row>
    <row r="213" spans="1:15" ht="15">
      <c r="A213" s="302" t="s">
        <v>299</v>
      </c>
      <c r="B213" s="245" t="s">
        <v>184</v>
      </c>
      <c r="C213" s="214"/>
      <c r="D213" s="214"/>
      <c r="E213" s="214"/>
      <c r="F213" s="303"/>
      <c r="G213" s="214"/>
      <c r="H213" s="214"/>
      <c r="I213" s="214"/>
      <c r="J213" s="71">
        <v>207916</v>
      </c>
      <c r="K213" s="214"/>
      <c r="L213" s="214"/>
      <c r="M213" s="214"/>
      <c r="N213" s="303"/>
      <c r="O213" s="377">
        <f t="shared" si="46"/>
        <v>207916</v>
      </c>
    </row>
    <row r="214" spans="1:15" ht="15">
      <c r="A214" s="302" t="s">
        <v>714</v>
      </c>
      <c r="B214" s="245" t="s">
        <v>715</v>
      </c>
      <c r="C214" s="214">
        <f>323557+6136+182658+794</f>
        <v>513145</v>
      </c>
      <c r="D214" s="214"/>
      <c r="E214" s="214"/>
      <c r="F214" s="303"/>
      <c r="G214" s="214"/>
      <c r="H214" s="214"/>
      <c r="I214" s="214"/>
      <c r="J214" s="71"/>
      <c r="K214" s="214"/>
      <c r="L214" s="214"/>
      <c r="M214" s="214"/>
      <c r="N214" s="303"/>
      <c r="O214" s="377">
        <f t="shared" si="46"/>
        <v>513145</v>
      </c>
    </row>
    <row r="215" spans="1:15" ht="15">
      <c r="A215" s="376" t="s">
        <v>185</v>
      </c>
      <c r="B215" s="341" t="s">
        <v>186</v>
      </c>
      <c r="C215" s="267">
        <f>SUM(C216:C218)</f>
        <v>395256</v>
      </c>
      <c r="D215" s="214">
        <f aca="true" t="shared" si="48" ref="D215:M215">SUM(D216:D218)</f>
        <v>0</v>
      </c>
      <c r="E215" s="214">
        <f t="shared" si="48"/>
        <v>0</v>
      </c>
      <c r="F215" s="214">
        <f t="shared" si="48"/>
        <v>0</v>
      </c>
      <c r="G215" s="214">
        <f t="shared" si="48"/>
        <v>96078</v>
      </c>
      <c r="H215" s="214">
        <f t="shared" si="48"/>
        <v>0</v>
      </c>
      <c r="I215" s="214">
        <f t="shared" si="48"/>
        <v>0</v>
      </c>
      <c r="J215" s="214">
        <f t="shared" si="48"/>
        <v>105134</v>
      </c>
      <c r="K215" s="214">
        <f t="shared" si="48"/>
        <v>0</v>
      </c>
      <c r="L215" s="214">
        <f t="shared" si="48"/>
        <v>0</v>
      </c>
      <c r="M215" s="214">
        <f t="shared" si="48"/>
        <v>0</v>
      </c>
      <c r="N215" s="214">
        <f>SUM(N216:N218)</f>
        <v>0</v>
      </c>
      <c r="O215" s="377">
        <f t="shared" si="46"/>
        <v>596468</v>
      </c>
    </row>
    <row r="216" spans="1:15" ht="15">
      <c r="A216" s="302" t="s">
        <v>452</v>
      </c>
      <c r="B216" s="245" t="s">
        <v>445</v>
      </c>
      <c r="C216" s="303">
        <f>50000</f>
        <v>50000</v>
      </c>
      <c r="D216" s="303"/>
      <c r="E216" s="303"/>
      <c r="F216" s="303"/>
      <c r="G216" s="214">
        <f>93538+2540</f>
        <v>96078</v>
      </c>
      <c r="H216" s="214"/>
      <c r="I216" s="214"/>
      <c r="J216" s="303">
        <v>99037</v>
      </c>
      <c r="K216" s="303"/>
      <c r="L216" s="303"/>
      <c r="M216" s="303"/>
      <c r="N216" s="303"/>
      <c r="O216" s="377">
        <f t="shared" si="46"/>
        <v>245115</v>
      </c>
    </row>
    <row r="217" spans="1:15" ht="15">
      <c r="A217" s="401" t="s">
        <v>701</v>
      </c>
      <c r="B217" s="245" t="s">
        <v>702</v>
      </c>
      <c r="C217" s="303">
        <v>240256</v>
      </c>
      <c r="D217" s="303"/>
      <c r="E217" s="303"/>
      <c r="F217" s="303"/>
      <c r="G217" s="214"/>
      <c r="H217" s="214"/>
      <c r="I217" s="214"/>
      <c r="J217" s="303"/>
      <c r="K217" s="303"/>
      <c r="L217" s="303"/>
      <c r="M217" s="303"/>
      <c r="N217" s="303"/>
      <c r="O217" s="377">
        <f t="shared" si="46"/>
        <v>240256</v>
      </c>
    </row>
    <row r="218" spans="1:15" ht="15">
      <c r="A218" s="302" t="s">
        <v>453</v>
      </c>
      <c r="B218" s="245" t="s">
        <v>446</v>
      </c>
      <c r="C218" s="303">
        <v>105000</v>
      </c>
      <c r="D218" s="303"/>
      <c r="E218" s="303"/>
      <c r="F218" s="303"/>
      <c r="G218" s="214"/>
      <c r="H218" s="214"/>
      <c r="I218" s="214"/>
      <c r="J218" s="303">
        <v>6097</v>
      </c>
      <c r="K218" s="303"/>
      <c r="L218" s="303"/>
      <c r="M218" s="303"/>
      <c r="N218" s="303"/>
      <c r="O218" s="377">
        <f t="shared" si="46"/>
        <v>111097</v>
      </c>
    </row>
    <row r="219" spans="1:15" ht="21.75" customHeight="1">
      <c r="A219" s="376" t="s">
        <v>669</v>
      </c>
      <c r="B219" s="341" t="s">
        <v>670</v>
      </c>
      <c r="C219" s="344">
        <f>293138-17770</f>
        <v>275368</v>
      </c>
      <c r="D219" s="344"/>
      <c r="E219" s="344"/>
      <c r="F219" s="344"/>
      <c r="G219" s="267"/>
      <c r="H219" s="267"/>
      <c r="I219" s="267"/>
      <c r="J219" s="344"/>
      <c r="K219" s="344"/>
      <c r="L219" s="344"/>
      <c r="M219" s="344"/>
      <c r="N219" s="344"/>
      <c r="O219" s="377">
        <f t="shared" si="46"/>
        <v>275368</v>
      </c>
    </row>
    <row r="220" spans="1:15" ht="30.75" customHeight="1" thickBot="1">
      <c r="A220" s="422" t="s">
        <v>133</v>
      </c>
      <c r="B220" s="423" t="s">
        <v>300</v>
      </c>
      <c r="C220" s="424">
        <f aca="true" t="shared" si="49" ref="C220:N220">SUM(C221:C248)</f>
        <v>1721665</v>
      </c>
      <c r="D220" s="424">
        <f t="shared" si="49"/>
        <v>0</v>
      </c>
      <c r="E220" s="424">
        <f t="shared" si="49"/>
        <v>0</v>
      </c>
      <c r="F220" s="424">
        <f t="shared" si="49"/>
        <v>0</v>
      </c>
      <c r="G220" s="424">
        <f t="shared" si="49"/>
        <v>28147</v>
      </c>
      <c r="H220" s="424">
        <f t="shared" si="49"/>
        <v>0</v>
      </c>
      <c r="I220" s="424">
        <f t="shared" si="49"/>
        <v>24475</v>
      </c>
      <c r="J220" s="424">
        <f t="shared" si="49"/>
        <v>20693</v>
      </c>
      <c r="K220" s="424">
        <f t="shared" si="49"/>
        <v>33680</v>
      </c>
      <c r="L220" s="424">
        <f t="shared" si="49"/>
        <v>21960</v>
      </c>
      <c r="M220" s="424">
        <f t="shared" si="49"/>
        <v>14647</v>
      </c>
      <c r="N220" s="424">
        <f t="shared" si="49"/>
        <v>18811</v>
      </c>
      <c r="O220" s="425">
        <f>SUM(C220:N220)</f>
        <v>1884078</v>
      </c>
    </row>
    <row r="221" spans="1:15" ht="30.75" customHeight="1">
      <c r="A221" s="395" t="s">
        <v>448</v>
      </c>
      <c r="B221" s="284" t="s">
        <v>449</v>
      </c>
      <c r="C221" s="331">
        <v>91066</v>
      </c>
      <c r="D221" s="394"/>
      <c r="E221" s="394"/>
      <c r="F221" s="394"/>
      <c r="G221" s="420"/>
      <c r="H221" s="420"/>
      <c r="I221" s="420"/>
      <c r="J221" s="394"/>
      <c r="K221" s="394"/>
      <c r="L221" s="394"/>
      <c r="M221" s="394"/>
      <c r="N221" s="426"/>
      <c r="O221" s="377">
        <f t="shared" si="46"/>
        <v>91066</v>
      </c>
    </row>
    <row r="222" spans="1:15" ht="30.75" customHeight="1">
      <c r="A222" s="427" t="s">
        <v>488</v>
      </c>
      <c r="B222" s="428" t="s">
        <v>489</v>
      </c>
      <c r="C222" s="214">
        <f>199681-2611</f>
        <v>197070</v>
      </c>
      <c r="D222" s="267"/>
      <c r="E222" s="267"/>
      <c r="F222" s="267"/>
      <c r="G222" s="267"/>
      <c r="H222" s="267"/>
      <c r="I222" s="267"/>
      <c r="J222" s="267">
        <v>2645</v>
      </c>
      <c r="K222" s="267"/>
      <c r="L222" s="267"/>
      <c r="M222" s="267"/>
      <c r="N222" s="390"/>
      <c r="O222" s="377">
        <f t="shared" si="46"/>
        <v>199715</v>
      </c>
    </row>
    <row r="223" spans="1:15" ht="15.75">
      <c r="A223" s="427" t="s">
        <v>541</v>
      </c>
      <c r="B223" s="429" t="s">
        <v>542</v>
      </c>
      <c r="C223" s="214">
        <v>55622</v>
      </c>
      <c r="D223" s="267"/>
      <c r="E223" s="267"/>
      <c r="F223" s="267"/>
      <c r="G223" s="267"/>
      <c r="H223" s="267"/>
      <c r="I223" s="267"/>
      <c r="J223" s="267"/>
      <c r="K223" s="267"/>
      <c r="L223" s="267"/>
      <c r="M223" s="267"/>
      <c r="N223" s="390"/>
      <c r="O223" s="377">
        <f t="shared" si="46"/>
        <v>55622</v>
      </c>
    </row>
    <row r="224" spans="1:15" ht="30.75" customHeight="1">
      <c r="A224" s="427" t="s">
        <v>543</v>
      </c>
      <c r="B224" s="429" t="s">
        <v>544</v>
      </c>
      <c r="C224" s="214">
        <v>13041</v>
      </c>
      <c r="D224" s="267"/>
      <c r="E224" s="267"/>
      <c r="F224" s="267"/>
      <c r="G224" s="267"/>
      <c r="H224" s="267"/>
      <c r="I224" s="267"/>
      <c r="J224" s="267"/>
      <c r="K224" s="267"/>
      <c r="L224" s="267"/>
      <c r="M224" s="267"/>
      <c r="N224" s="390"/>
      <c r="O224" s="377">
        <f t="shared" si="46"/>
        <v>13041</v>
      </c>
    </row>
    <row r="225" spans="1:15" ht="30.75" customHeight="1">
      <c r="A225" s="427" t="s">
        <v>545</v>
      </c>
      <c r="B225" s="430" t="s">
        <v>546</v>
      </c>
      <c r="C225" s="214">
        <v>11463</v>
      </c>
      <c r="D225" s="267"/>
      <c r="E225" s="267"/>
      <c r="F225" s="267"/>
      <c r="G225" s="267"/>
      <c r="H225" s="267"/>
      <c r="I225" s="267"/>
      <c r="J225" s="267"/>
      <c r="K225" s="267"/>
      <c r="L225" s="267"/>
      <c r="M225" s="267"/>
      <c r="N225" s="390"/>
      <c r="O225" s="377">
        <f t="shared" si="46"/>
        <v>11463</v>
      </c>
    </row>
    <row r="226" spans="1:15" ht="30.75" customHeight="1">
      <c r="A226" s="427" t="s">
        <v>547</v>
      </c>
      <c r="B226" s="429" t="s">
        <v>548</v>
      </c>
      <c r="C226" s="331">
        <v>10462</v>
      </c>
      <c r="D226" s="394"/>
      <c r="E226" s="394"/>
      <c r="F226" s="394"/>
      <c r="G226" s="420"/>
      <c r="H226" s="420"/>
      <c r="I226" s="420"/>
      <c r="J226" s="394"/>
      <c r="K226" s="394"/>
      <c r="L226" s="394"/>
      <c r="M226" s="394"/>
      <c r="N226" s="394"/>
      <c r="O226" s="377">
        <f t="shared" si="46"/>
        <v>10462</v>
      </c>
    </row>
    <row r="227" spans="1:15" ht="15">
      <c r="A227" s="395" t="s">
        <v>301</v>
      </c>
      <c r="B227" s="119" t="s">
        <v>671</v>
      </c>
      <c r="C227" s="303"/>
      <c r="D227" s="214"/>
      <c r="E227" s="214"/>
      <c r="F227" s="303"/>
      <c r="G227" s="214">
        <v>28147</v>
      </c>
      <c r="H227" s="214"/>
      <c r="I227" s="214">
        <v>21267</v>
      </c>
      <c r="J227" s="214"/>
      <c r="K227" s="214">
        <v>33680</v>
      </c>
      <c r="L227" s="214">
        <v>21960</v>
      </c>
      <c r="M227" s="214"/>
      <c r="N227" s="303"/>
      <c r="O227" s="377">
        <f t="shared" si="46"/>
        <v>105054</v>
      </c>
    </row>
    <row r="228" spans="1:15" ht="15">
      <c r="A228" s="395" t="s">
        <v>302</v>
      </c>
      <c r="B228" s="571" t="s">
        <v>410</v>
      </c>
      <c r="C228" s="331"/>
      <c r="D228" s="214"/>
      <c r="E228" s="214"/>
      <c r="F228" s="303"/>
      <c r="G228" s="214"/>
      <c r="H228" s="214"/>
      <c r="I228" s="214"/>
      <c r="J228" s="214">
        <v>13550</v>
      </c>
      <c r="K228" s="214"/>
      <c r="L228" s="214"/>
      <c r="M228" s="214">
        <v>14647</v>
      </c>
      <c r="N228" s="309">
        <v>18811</v>
      </c>
      <c r="O228" s="377">
        <f t="shared" si="46"/>
        <v>47008</v>
      </c>
    </row>
    <row r="229" spans="1:15" ht="47.25">
      <c r="A229" s="427" t="s">
        <v>549</v>
      </c>
      <c r="B229" s="431" t="s">
        <v>550</v>
      </c>
      <c r="C229" s="303">
        <v>13738</v>
      </c>
      <c r="D229" s="214"/>
      <c r="E229" s="214"/>
      <c r="F229" s="303"/>
      <c r="G229" s="214"/>
      <c r="H229" s="214"/>
      <c r="I229" s="214"/>
      <c r="J229" s="214"/>
      <c r="K229" s="214"/>
      <c r="L229" s="214"/>
      <c r="M229" s="214"/>
      <c r="N229" s="303"/>
      <c r="O229" s="377">
        <f t="shared" si="46"/>
        <v>13738</v>
      </c>
    </row>
    <row r="230" spans="1:15" ht="47.25">
      <c r="A230" s="427" t="s">
        <v>551</v>
      </c>
      <c r="B230" s="429" t="s">
        <v>552</v>
      </c>
      <c r="C230" s="303">
        <v>8234</v>
      </c>
      <c r="D230" s="214"/>
      <c r="E230" s="214"/>
      <c r="F230" s="303"/>
      <c r="G230" s="214"/>
      <c r="H230" s="214"/>
      <c r="I230" s="214"/>
      <c r="J230" s="214"/>
      <c r="K230" s="214"/>
      <c r="L230" s="214"/>
      <c r="M230" s="214"/>
      <c r="N230" s="303"/>
      <c r="O230" s="377">
        <f t="shared" si="46"/>
        <v>8234</v>
      </c>
    </row>
    <row r="231" spans="1:15" ht="60">
      <c r="A231" s="427" t="s">
        <v>589</v>
      </c>
      <c r="B231" s="400" t="s">
        <v>588</v>
      </c>
      <c r="C231" s="303">
        <v>6201</v>
      </c>
      <c r="D231" s="214"/>
      <c r="E231" s="214"/>
      <c r="F231" s="303"/>
      <c r="G231" s="214"/>
      <c r="H231" s="214"/>
      <c r="I231" s="214"/>
      <c r="J231" s="214"/>
      <c r="K231" s="214"/>
      <c r="L231" s="214"/>
      <c r="M231" s="214"/>
      <c r="N231" s="303"/>
      <c r="O231" s="377">
        <f t="shared" si="46"/>
        <v>6201</v>
      </c>
    </row>
    <row r="232" spans="1:15" ht="30">
      <c r="A232" s="302" t="s">
        <v>376</v>
      </c>
      <c r="B232" s="400" t="s">
        <v>672</v>
      </c>
      <c r="C232" s="303">
        <f>2449147-1400000</f>
        <v>1049147</v>
      </c>
      <c r="D232" s="214"/>
      <c r="E232" s="214"/>
      <c r="F232" s="303"/>
      <c r="G232" s="214"/>
      <c r="H232" s="214"/>
      <c r="I232" s="214"/>
      <c r="J232" s="214"/>
      <c r="K232" s="214"/>
      <c r="L232" s="214"/>
      <c r="M232" s="214"/>
      <c r="N232" s="303"/>
      <c r="O232" s="377">
        <f t="shared" si="46"/>
        <v>1049147</v>
      </c>
    </row>
    <row r="233" spans="1:15" ht="28.5" customHeight="1">
      <c r="A233" s="395" t="s">
        <v>398</v>
      </c>
      <c r="B233" s="432" t="s">
        <v>554</v>
      </c>
      <c r="C233" s="303">
        <v>3049</v>
      </c>
      <c r="D233" s="214"/>
      <c r="E233" s="214"/>
      <c r="F233" s="303"/>
      <c r="G233" s="214"/>
      <c r="H233" s="214"/>
      <c r="I233" s="214"/>
      <c r="J233" s="214"/>
      <c r="K233" s="214"/>
      <c r="L233" s="214"/>
      <c r="M233" s="214"/>
      <c r="N233" s="303"/>
      <c r="O233" s="377">
        <f t="shared" si="46"/>
        <v>3049</v>
      </c>
    </row>
    <row r="234" spans="1:15" ht="30">
      <c r="A234" s="302" t="s">
        <v>463</v>
      </c>
      <c r="B234" s="433" t="s">
        <v>462</v>
      </c>
      <c r="C234" s="303">
        <f>175955-3208</f>
        <v>172747</v>
      </c>
      <c r="D234" s="303"/>
      <c r="E234" s="303"/>
      <c r="F234" s="303"/>
      <c r="G234" s="214"/>
      <c r="H234" s="316"/>
      <c r="I234" s="316">
        <v>3208</v>
      </c>
      <c r="J234" s="316"/>
      <c r="K234" s="316"/>
      <c r="L234" s="316"/>
      <c r="M234" s="316"/>
      <c r="N234" s="320"/>
      <c r="O234" s="377">
        <f t="shared" si="46"/>
        <v>175955</v>
      </c>
    </row>
    <row r="235" spans="1:15" ht="45" customHeight="1">
      <c r="A235" s="302" t="s">
        <v>458</v>
      </c>
      <c r="B235" s="400" t="s">
        <v>457</v>
      </c>
      <c r="C235" s="214"/>
      <c r="D235" s="214"/>
      <c r="E235" s="214"/>
      <c r="F235" s="214"/>
      <c r="G235" s="214"/>
      <c r="H235" s="214"/>
      <c r="I235" s="214"/>
      <c r="J235" s="214"/>
      <c r="K235" s="214"/>
      <c r="L235" s="214"/>
      <c r="M235" s="214"/>
      <c r="N235" s="345"/>
      <c r="O235" s="377">
        <f t="shared" si="46"/>
        <v>0</v>
      </c>
    </row>
    <row r="236" spans="1:15" ht="30">
      <c r="A236" s="572" t="s">
        <v>467</v>
      </c>
      <c r="B236" s="434" t="s">
        <v>481</v>
      </c>
      <c r="C236" s="214">
        <v>2776</v>
      </c>
      <c r="D236" s="214"/>
      <c r="E236" s="214"/>
      <c r="F236" s="214"/>
      <c r="G236" s="214"/>
      <c r="H236" s="214"/>
      <c r="I236" s="214"/>
      <c r="J236" s="214"/>
      <c r="K236" s="214"/>
      <c r="L236" s="214"/>
      <c r="M236" s="214"/>
      <c r="N236" s="303"/>
      <c r="O236" s="377">
        <f t="shared" si="46"/>
        <v>2776</v>
      </c>
    </row>
    <row r="237" spans="1:15" ht="45" customHeight="1">
      <c r="A237" s="572" t="s">
        <v>493</v>
      </c>
      <c r="B237" s="428" t="s">
        <v>494</v>
      </c>
      <c r="C237" s="214">
        <v>8070</v>
      </c>
      <c r="D237" s="214"/>
      <c r="E237" s="214"/>
      <c r="F237" s="214"/>
      <c r="G237" s="214"/>
      <c r="H237" s="214"/>
      <c r="I237" s="214"/>
      <c r="J237" s="214"/>
      <c r="K237" s="214"/>
      <c r="L237" s="214"/>
      <c r="M237" s="214"/>
      <c r="N237" s="303"/>
      <c r="O237" s="377">
        <f t="shared" si="46"/>
        <v>8070</v>
      </c>
    </row>
    <row r="238" spans="1:15" ht="47.25" customHeight="1">
      <c r="A238" s="572" t="s">
        <v>555</v>
      </c>
      <c r="B238" s="429" t="s">
        <v>556</v>
      </c>
      <c r="C238" s="303">
        <v>10250</v>
      </c>
      <c r="D238" s="303"/>
      <c r="E238" s="303"/>
      <c r="F238" s="303"/>
      <c r="G238" s="214"/>
      <c r="H238" s="303"/>
      <c r="I238" s="303"/>
      <c r="J238" s="303"/>
      <c r="K238" s="303"/>
      <c r="L238" s="303"/>
      <c r="M238" s="303"/>
      <c r="N238" s="345"/>
      <c r="O238" s="377">
        <f t="shared" si="46"/>
        <v>10250</v>
      </c>
    </row>
    <row r="239" spans="1:15" ht="47.25" customHeight="1">
      <c r="A239" s="572" t="s">
        <v>811</v>
      </c>
      <c r="B239" s="545" t="s">
        <v>810</v>
      </c>
      <c r="C239" s="214">
        <v>4281</v>
      </c>
      <c r="D239" s="214"/>
      <c r="E239" s="214"/>
      <c r="F239" s="214"/>
      <c r="G239" s="214"/>
      <c r="H239" s="214"/>
      <c r="I239" s="214"/>
      <c r="J239" s="214"/>
      <c r="K239" s="214"/>
      <c r="L239" s="214"/>
      <c r="M239" s="214"/>
      <c r="N239" s="331"/>
      <c r="O239" s="377">
        <f t="shared" si="46"/>
        <v>4281</v>
      </c>
    </row>
    <row r="240" spans="1:15" ht="47.25" customHeight="1">
      <c r="A240" s="572" t="s">
        <v>814</v>
      </c>
      <c r="B240" s="546" t="s">
        <v>813</v>
      </c>
      <c r="C240" s="214">
        <v>800</v>
      </c>
      <c r="D240" s="214"/>
      <c r="E240" s="214"/>
      <c r="F240" s="214"/>
      <c r="G240" s="214"/>
      <c r="H240" s="214"/>
      <c r="I240" s="214"/>
      <c r="J240" s="214"/>
      <c r="K240" s="214"/>
      <c r="L240" s="214"/>
      <c r="M240" s="214"/>
      <c r="N240" s="345"/>
      <c r="O240" s="377">
        <f t="shared" si="46"/>
        <v>800</v>
      </c>
    </row>
    <row r="241" spans="1:15" ht="47.25" customHeight="1">
      <c r="A241" s="572" t="s">
        <v>817</v>
      </c>
      <c r="B241" s="546" t="s">
        <v>816</v>
      </c>
      <c r="C241" s="214">
        <v>2600</v>
      </c>
      <c r="D241" s="214"/>
      <c r="E241" s="214"/>
      <c r="F241" s="214"/>
      <c r="G241" s="214"/>
      <c r="H241" s="214"/>
      <c r="I241" s="214"/>
      <c r="J241" s="214"/>
      <c r="K241" s="214"/>
      <c r="L241" s="214"/>
      <c r="M241" s="214"/>
      <c r="N241" s="331"/>
      <c r="O241" s="377">
        <f t="shared" si="46"/>
        <v>2600</v>
      </c>
    </row>
    <row r="242" spans="1:15" ht="47.25" customHeight="1">
      <c r="A242" s="572" t="s">
        <v>819</v>
      </c>
      <c r="B242" s="546" t="s">
        <v>818</v>
      </c>
      <c r="C242" s="214">
        <v>900</v>
      </c>
      <c r="D242" s="214"/>
      <c r="E242" s="214"/>
      <c r="F242" s="214"/>
      <c r="G242" s="214"/>
      <c r="H242" s="214"/>
      <c r="I242" s="214"/>
      <c r="J242" s="214"/>
      <c r="K242" s="214"/>
      <c r="L242" s="214"/>
      <c r="M242" s="214"/>
      <c r="N242" s="345"/>
      <c r="O242" s="377">
        <f t="shared" si="46"/>
        <v>900</v>
      </c>
    </row>
    <row r="243" spans="1:15" ht="47.25" customHeight="1">
      <c r="A243" s="572" t="s">
        <v>823</v>
      </c>
      <c r="B243" s="546" t="s">
        <v>822</v>
      </c>
      <c r="C243" s="214">
        <v>1100</v>
      </c>
      <c r="D243" s="214"/>
      <c r="E243" s="214"/>
      <c r="F243" s="214"/>
      <c r="G243" s="214"/>
      <c r="H243" s="214"/>
      <c r="I243" s="214"/>
      <c r="J243" s="214"/>
      <c r="K243" s="214"/>
      <c r="L243" s="214"/>
      <c r="M243" s="214"/>
      <c r="N243" s="331"/>
      <c r="O243" s="377">
        <f t="shared" si="46"/>
        <v>1100</v>
      </c>
    </row>
    <row r="244" spans="1:15" ht="47.25" customHeight="1">
      <c r="A244" s="572" t="s">
        <v>821</v>
      </c>
      <c r="B244" s="546" t="s">
        <v>820</v>
      </c>
      <c r="C244" s="214">
        <v>1000</v>
      </c>
      <c r="D244" s="214"/>
      <c r="E244" s="214"/>
      <c r="F244" s="214"/>
      <c r="G244" s="214"/>
      <c r="H244" s="214"/>
      <c r="I244" s="214"/>
      <c r="J244" s="214"/>
      <c r="K244" s="214"/>
      <c r="L244" s="214"/>
      <c r="M244" s="214"/>
      <c r="N244" s="345"/>
      <c r="O244" s="377">
        <f t="shared" si="46"/>
        <v>1000</v>
      </c>
    </row>
    <row r="245" spans="1:15" ht="30">
      <c r="A245" s="572" t="s">
        <v>825</v>
      </c>
      <c r="B245" s="546" t="s">
        <v>824</v>
      </c>
      <c r="C245" s="214">
        <v>800</v>
      </c>
      <c r="D245" s="214"/>
      <c r="E245" s="214"/>
      <c r="F245" s="214"/>
      <c r="G245" s="214"/>
      <c r="H245" s="214"/>
      <c r="I245" s="214"/>
      <c r="J245" s="214"/>
      <c r="K245" s="214"/>
      <c r="L245" s="214"/>
      <c r="M245" s="214"/>
      <c r="N245" s="331"/>
      <c r="O245" s="377">
        <f t="shared" si="46"/>
        <v>800</v>
      </c>
    </row>
    <row r="246" spans="1:15" ht="47.25" customHeight="1">
      <c r="A246" s="192" t="s">
        <v>827</v>
      </c>
      <c r="B246" s="429" t="s">
        <v>826</v>
      </c>
      <c r="C246" s="214"/>
      <c r="D246" s="214"/>
      <c r="E246" s="214"/>
      <c r="F246" s="214"/>
      <c r="G246" s="214"/>
      <c r="H246" s="214"/>
      <c r="I246" s="214"/>
      <c r="J246" s="214">
        <v>4498</v>
      </c>
      <c r="K246" s="214"/>
      <c r="L246" s="214"/>
      <c r="M246" s="214"/>
      <c r="N246" s="345"/>
      <c r="O246" s="377">
        <f t="shared" si="46"/>
        <v>4498</v>
      </c>
    </row>
    <row r="247" spans="1:15" ht="47.25" customHeight="1">
      <c r="A247" s="192" t="s">
        <v>943</v>
      </c>
      <c r="B247" s="548" t="s">
        <v>942</v>
      </c>
      <c r="C247" s="303">
        <v>1000</v>
      </c>
      <c r="D247" s="303"/>
      <c r="E247" s="303"/>
      <c r="F247" s="303"/>
      <c r="G247" s="214"/>
      <c r="H247" s="303"/>
      <c r="I247" s="303"/>
      <c r="J247" s="303"/>
      <c r="K247" s="303"/>
      <c r="L247" s="303"/>
      <c r="M247" s="303"/>
      <c r="N247" s="345"/>
      <c r="O247" s="377">
        <f t="shared" si="46"/>
        <v>1000</v>
      </c>
    </row>
    <row r="248" spans="1:15" ht="30.75" thickBot="1">
      <c r="A248" s="192" t="s">
        <v>951</v>
      </c>
      <c r="B248" s="251" t="s">
        <v>952</v>
      </c>
      <c r="C248" s="331">
        <v>56248</v>
      </c>
      <c r="D248" s="331"/>
      <c r="E248" s="331"/>
      <c r="F248" s="331"/>
      <c r="G248" s="330"/>
      <c r="H248" s="331"/>
      <c r="I248" s="331"/>
      <c r="J248" s="331"/>
      <c r="K248" s="331"/>
      <c r="L248" s="331"/>
      <c r="M248" s="331"/>
      <c r="N248" s="331"/>
      <c r="O248" s="377">
        <f t="shared" si="46"/>
        <v>56248</v>
      </c>
    </row>
    <row r="249" spans="1:15" ht="15.75" thickBot="1">
      <c r="A249" s="332" t="s">
        <v>16</v>
      </c>
      <c r="B249" s="294" t="s">
        <v>134</v>
      </c>
      <c r="C249" s="296">
        <f>SUM(C250+C251+C252+C253)</f>
        <v>3012808</v>
      </c>
      <c r="D249" s="296">
        <f aca="true" t="shared" si="50" ref="D249:M249">SUM(D250+D251+D252+D253)</f>
        <v>56470</v>
      </c>
      <c r="E249" s="296">
        <f t="shared" si="50"/>
        <v>0</v>
      </c>
      <c r="F249" s="296">
        <f t="shared" si="50"/>
        <v>0</v>
      </c>
      <c r="G249" s="295">
        <f t="shared" si="50"/>
        <v>59214</v>
      </c>
      <c r="H249" s="296">
        <f t="shared" si="50"/>
        <v>20101</v>
      </c>
      <c r="I249" s="296">
        <f t="shared" si="50"/>
        <v>27566</v>
      </c>
      <c r="J249" s="296">
        <f t="shared" si="50"/>
        <v>683874</v>
      </c>
      <c r="K249" s="296">
        <f t="shared" si="50"/>
        <v>32129</v>
      </c>
      <c r="L249" s="296">
        <f t="shared" si="50"/>
        <v>14966</v>
      </c>
      <c r="M249" s="296">
        <f t="shared" si="50"/>
        <v>18250</v>
      </c>
      <c r="N249" s="296">
        <f>SUM(N250+N251+N252+N253)</f>
        <v>32387</v>
      </c>
      <c r="O249" s="297">
        <f t="shared" si="46"/>
        <v>3957765</v>
      </c>
    </row>
    <row r="250" spans="1:15" ht="16.5" customHeight="1">
      <c r="A250" s="376" t="s">
        <v>673</v>
      </c>
      <c r="B250" s="435" t="s">
        <v>224</v>
      </c>
      <c r="C250" s="436">
        <f>171677-198</f>
        <v>171479</v>
      </c>
      <c r="D250" s="268"/>
      <c r="E250" s="268"/>
      <c r="F250" s="436"/>
      <c r="G250" s="268">
        <v>850</v>
      </c>
      <c r="H250" s="268"/>
      <c r="I250" s="268"/>
      <c r="J250" s="268">
        <v>198</v>
      </c>
      <c r="K250" s="268"/>
      <c r="L250" s="268"/>
      <c r="M250" s="268"/>
      <c r="N250" s="426"/>
      <c r="O250" s="374">
        <f t="shared" si="46"/>
        <v>172527</v>
      </c>
    </row>
    <row r="251" spans="1:15" ht="15">
      <c r="A251" s="369" t="s">
        <v>674</v>
      </c>
      <c r="B251" s="370" t="s">
        <v>187</v>
      </c>
      <c r="C251" s="410">
        <v>5956</v>
      </c>
      <c r="D251" s="371"/>
      <c r="E251" s="371"/>
      <c r="F251" s="371"/>
      <c r="G251" s="339"/>
      <c r="H251" s="339"/>
      <c r="I251" s="339"/>
      <c r="J251" s="339"/>
      <c r="K251" s="437">
        <v>2400</v>
      </c>
      <c r="L251" s="437">
        <v>2400</v>
      </c>
      <c r="M251" s="371">
        <v>2400</v>
      </c>
      <c r="N251" s="371"/>
      <c r="O251" s="321">
        <f t="shared" si="46"/>
        <v>13156</v>
      </c>
    </row>
    <row r="252" spans="1:15" ht="15">
      <c r="A252" s="369" t="s">
        <v>135</v>
      </c>
      <c r="B252" s="370" t="s">
        <v>136</v>
      </c>
      <c r="C252" s="371"/>
      <c r="D252" s="300"/>
      <c r="E252" s="300"/>
      <c r="F252" s="249"/>
      <c r="G252" s="300"/>
      <c r="H252" s="300"/>
      <c r="I252" s="300"/>
      <c r="J252" s="300"/>
      <c r="K252" s="300"/>
      <c r="L252" s="300"/>
      <c r="M252" s="300"/>
      <c r="N252" s="249"/>
      <c r="O252" s="377">
        <f t="shared" si="46"/>
        <v>0</v>
      </c>
    </row>
    <row r="253" spans="1:15" ht="29.25">
      <c r="A253" s="376" t="s">
        <v>137</v>
      </c>
      <c r="B253" s="341" t="s">
        <v>138</v>
      </c>
      <c r="C253" s="344">
        <f aca="true" t="shared" si="51" ref="C253:N253">SUM(C254:C264)</f>
        <v>2835373</v>
      </c>
      <c r="D253" s="344">
        <f t="shared" si="51"/>
        <v>56470</v>
      </c>
      <c r="E253" s="344">
        <f t="shared" si="51"/>
        <v>0</v>
      </c>
      <c r="F253" s="344">
        <f t="shared" si="51"/>
        <v>0</v>
      </c>
      <c r="G253" s="267">
        <f t="shared" si="51"/>
        <v>58364</v>
      </c>
      <c r="H253" s="344">
        <f t="shared" si="51"/>
        <v>20101</v>
      </c>
      <c r="I253" s="344">
        <f t="shared" si="51"/>
        <v>27566</v>
      </c>
      <c r="J253" s="344">
        <f t="shared" si="51"/>
        <v>683676</v>
      </c>
      <c r="K253" s="344">
        <f t="shared" si="51"/>
        <v>29729</v>
      </c>
      <c r="L253" s="344">
        <f t="shared" si="51"/>
        <v>12566</v>
      </c>
      <c r="M253" s="344">
        <f t="shared" si="51"/>
        <v>15850</v>
      </c>
      <c r="N253" s="344">
        <f t="shared" si="51"/>
        <v>32387</v>
      </c>
      <c r="O253" s="377">
        <f>SUM(C253:N253)</f>
        <v>3772082</v>
      </c>
    </row>
    <row r="254" spans="1:15" ht="15">
      <c r="A254" s="302" t="s">
        <v>303</v>
      </c>
      <c r="B254" s="245" t="s">
        <v>139</v>
      </c>
      <c r="C254" s="303">
        <f>969100+52295</f>
        <v>1021395</v>
      </c>
      <c r="D254" s="214">
        <v>56470</v>
      </c>
      <c r="E254" s="214"/>
      <c r="F254" s="303"/>
      <c r="G254" s="214">
        <v>500</v>
      </c>
      <c r="H254" s="214"/>
      <c r="I254" s="214">
        <v>400</v>
      </c>
      <c r="J254" s="214">
        <v>2183</v>
      </c>
      <c r="K254" s="214">
        <v>300</v>
      </c>
      <c r="L254" s="214">
        <v>670</v>
      </c>
      <c r="M254" s="214">
        <v>3350</v>
      </c>
      <c r="N254" s="309">
        <v>687</v>
      </c>
      <c r="O254" s="377">
        <f aca="true" t="shared" si="52" ref="O254:O271">SUM(C254:N254)</f>
        <v>1085955</v>
      </c>
    </row>
    <row r="255" spans="1:15" ht="15">
      <c r="A255" s="302" t="s">
        <v>304</v>
      </c>
      <c r="B255" s="245" t="s">
        <v>32</v>
      </c>
      <c r="C255" s="303">
        <f>1026155+51993</f>
        <v>1078148</v>
      </c>
      <c r="D255" s="214"/>
      <c r="E255" s="214"/>
      <c r="F255" s="303"/>
      <c r="G255" s="214">
        <v>57864</v>
      </c>
      <c r="H255" s="214">
        <v>20101</v>
      </c>
      <c r="I255" s="214">
        <v>26616</v>
      </c>
      <c r="J255" s="214">
        <f>75507-15860</f>
        <v>59647</v>
      </c>
      <c r="K255" s="214">
        <v>29429</v>
      </c>
      <c r="L255" s="214">
        <v>11896</v>
      </c>
      <c r="M255" s="214">
        <v>12500</v>
      </c>
      <c r="N255" s="309">
        <v>31700</v>
      </c>
      <c r="O255" s="377">
        <f t="shared" si="52"/>
        <v>1327901</v>
      </c>
    </row>
    <row r="256" spans="1:15" ht="15">
      <c r="A256" s="302" t="s">
        <v>411</v>
      </c>
      <c r="B256" s="245" t="s">
        <v>412</v>
      </c>
      <c r="C256" s="303">
        <v>251348</v>
      </c>
      <c r="D256" s="214"/>
      <c r="E256" s="214"/>
      <c r="F256" s="303"/>
      <c r="G256" s="214"/>
      <c r="H256" s="214"/>
      <c r="I256" s="214"/>
      <c r="J256" s="214"/>
      <c r="K256" s="214"/>
      <c r="L256" s="214"/>
      <c r="M256" s="214"/>
      <c r="N256" s="303"/>
      <c r="O256" s="377">
        <f t="shared" si="52"/>
        <v>251348</v>
      </c>
    </row>
    <row r="257" spans="1:15" ht="15">
      <c r="A257" s="302" t="s">
        <v>305</v>
      </c>
      <c r="B257" s="245" t="s">
        <v>189</v>
      </c>
      <c r="C257" s="303"/>
      <c r="D257" s="214"/>
      <c r="E257" s="214"/>
      <c r="F257" s="303"/>
      <c r="G257" s="214"/>
      <c r="H257" s="214"/>
      <c r="I257" s="214"/>
      <c r="J257" s="214">
        <v>618113</v>
      </c>
      <c r="K257" s="214"/>
      <c r="L257" s="214"/>
      <c r="M257" s="214"/>
      <c r="N257" s="303"/>
      <c r="O257" s="377">
        <f t="shared" si="52"/>
        <v>618113</v>
      </c>
    </row>
    <row r="258" spans="1:15" ht="30">
      <c r="A258" s="302" t="s">
        <v>432</v>
      </c>
      <c r="B258" s="119" t="s">
        <v>433</v>
      </c>
      <c r="C258" s="214">
        <f>15071+25115</f>
        <v>40186</v>
      </c>
      <c r="D258" s="214"/>
      <c r="E258" s="214"/>
      <c r="F258" s="303"/>
      <c r="G258" s="214"/>
      <c r="H258" s="214"/>
      <c r="I258" s="214"/>
      <c r="J258" s="214"/>
      <c r="K258" s="214"/>
      <c r="L258" s="214"/>
      <c r="M258" s="214"/>
      <c r="N258" s="303"/>
      <c r="O258" s="377">
        <f t="shared" si="52"/>
        <v>40186</v>
      </c>
    </row>
    <row r="259" spans="1:15" ht="30">
      <c r="A259" s="192" t="s">
        <v>500</v>
      </c>
      <c r="B259" s="190" t="s">
        <v>501</v>
      </c>
      <c r="C259" s="303">
        <v>555</v>
      </c>
      <c r="D259" s="214"/>
      <c r="E259" s="214"/>
      <c r="F259" s="303"/>
      <c r="G259" s="214"/>
      <c r="H259" s="214"/>
      <c r="I259" s="214"/>
      <c r="J259" s="303"/>
      <c r="K259" s="303"/>
      <c r="L259" s="303"/>
      <c r="M259" s="303"/>
      <c r="N259" s="303"/>
      <c r="O259" s="377">
        <f t="shared" si="52"/>
        <v>555</v>
      </c>
    </row>
    <row r="260" spans="1:15" ht="31.5">
      <c r="A260" s="192" t="s">
        <v>557</v>
      </c>
      <c r="B260" s="200" t="s">
        <v>558</v>
      </c>
      <c r="C260" s="303">
        <f>15000</f>
        <v>15000</v>
      </c>
      <c r="D260" s="214"/>
      <c r="E260" s="214"/>
      <c r="F260" s="303"/>
      <c r="G260" s="214"/>
      <c r="H260" s="214"/>
      <c r="I260" s="214"/>
      <c r="J260" s="303"/>
      <c r="K260" s="303"/>
      <c r="L260" s="303"/>
      <c r="M260" s="303"/>
      <c r="N260" s="303"/>
      <c r="O260" s="377">
        <f t="shared" si="52"/>
        <v>15000</v>
      </c>
    </row>
    <row r="261" spans="1:15" ht="15">
      <c r="A261" s="302" t="s">
        <v>306</v>
      </c>
      <c r="B261" s="245" t="s">
        <v>188</v>
      </c>
      <c r="C261" s="380">
        <f>44579+3300</f>
        <v>47879</v>
      </c>
      <c r="D261" s="214"/>
      <c r="E261" s="214"/>
      <c r="F261" s="303"/>
      <c r="G261" s="214"/>
      <c r="H261" s="214"/>
      <c r="I261" s="214">
        <v>550</v>
      </c>
      <c r="J261" s="303">
        <v>3733</v>
      </c>
      <c r="K261" s="303"/>
      <c r="L261" s="303"/>
      <c r="M261" s="303"/>
      <c r="N261" s="303"/>
      <c r="O261" s="377">
        <f t="shared" si="52"/>
        <v>52162</v>
      </c>
    </row>
    <row r="262" spans="1:15" ht="30">
      <c r="A262" s="192" t="s">
        <v>592</v>
      </c>
      <c r="B262" s="252" t="s">
        <v>591</v>
      </c>
      <c r="C262" s="303">
        <f>113644+11198</f>
        <v>124842</v>
      </c>
      <c r="D262" s="214"/>
      <c r="E262" s="214"/>
      <c r="F262" s="303"/>
      <c r="G262" s="214"/>
      <c r="H262" s="214"/>
      <c r="I262" s="214"/>
      <c r="J262" s="303"/>
      <c r="K262" s="303"/>
      <c r="L262" s="303"/>
      <c r="M262" s="303"/>
      <c r="N262" s="303"/>
      <c r="O262" s="377">
        <f t="shared" si="52"/>
        <v>124842</v>
      </c>
    </row>
    <row r="263" spans="1:15" ht="45">
      <c r="A263" s="302" t="s">
        <v>394</v>
      </c>
      <c r="B263" s="400" t="s">
        <v>675</v>
      </c>
      <c r="C263" s="303">
        <f>40000+10100</f>
        <v>50100</v>
      </c>
      <c r="D263" s="214"/>
      <c r="E263" s="214"/>
      <c r="F263" s="303"/>
      <c r="G263" s="214"/>
      <c r="H263" s="214"/>
      <c r="I263" s="214"/>
      <c r="J263" s="303"/>
      <c r="K263" s="303"/>
      <c r="L263" s="303"/>
      <c r="M263" s="303"/>
      <c r="N263" s="303"/>
      <c r="O263" s="377">
        <f t="shared" si="52"/>
        <v>50100</v>
      </c>
    </row>
    <row r="264" spans="1:15" ht="30.75" thickBot="1">
      <c r="A264" s="194" t="s">
        <v>482</v>
      </c>
      <c r="B264" s="102" t="s">
        <v>483</v>
      </c>
      <c r="C264" s="214">
        <f>268820-62900</f>
        <v>205920</v>
      </c>
      <c r="D264" s="214"/>
      <c r="E264" s="214"/>
      <c r="F264" s="214"/>
      <c r="G264" s="214"/>
      <c r="H264" s="214"/>
      <c r="I264" s="214"/>
      <c r="J264" s="214"/>
      <c r="K264" s="214"/>
      <c r="L264" s="214"/>
      <c r="M264" s="214"/>
      <c r="N264" s="345"/>
      <c r="O264" s="377">
        <f>SUM(C264:N264)</f>
        <v>205920</v>
      </c>
    </row>
    <row r="265" spans="1:15" ht="15.75" thickBot="1">
      <c r="A265" s="438"/>
      <c r="B265" s="294" t="s">
        <v>34</v>
      </c>
      <c r="C265" s="296">
        <f aca="true" t="shared" si="53" ref="C265:N265">C62+C73+C79+C115+C127+C152+C157+C185+C249</f>
        <v>52331945</v>
      </c>
      <c r="D265" s="296">
        <f t="shared" si="53"/>
        <v>3478156</v>
      </c>
      <c r="E265" s="296">
        <f t="shared" si="53"/>
        <v>1416830</v>
      </c>
      <c r="F265" s="295">
        <f t="shared" si="53"/>
        <v>355239</v>
      </c>
      <c r="G265" s="295">
        <f t="shared" si="53"/>
        <v>2342131</v>
      </c>
      <c r="H265" s="295">
        <f t="shared" si="53"/>
        <v>462008</v>
      </c>
      <c r="I265" s="295">
        <f t="shared" si="53"/>
        <v>1068166</v>
      </c>
      <c r="J265" s="296">
        <f t="shared" si="53"/>
        <v>3081167</v>
      </c>
      <c r="K265" s="296">
        <f t="shared" si="53"/>
        <v>351445</v>
      </c>
      <c r="L265" s="296">
        <f t="shared" si="53"/>
        <v>342953</v>
      </c>
      <c r="M265" s="296">
        <f t="shared" si="53"/>
        <v>356968</v>
      </c>
      <c r="N265" s="296">
        <f t="shared" si="53"/>
        <v>1040371</v>
      </c>
      <c r="O265" s="297">
        <f>SUM(C265:N265)</f>
        <v>66627379</v>
      </c>
    </row>
    <row r="266" spans="1:15" ht="15">
      <c r="A266" s="439" t="s">
        <v>190</v>
      </c>
      <c r="B266" s="329" t="s">
        <v>395</v>
      </c>
      <c r="C266" s="440">
        <f>2580407+1607861</f>
        <v>4188268</v>
      </c>
      <c r="D266" s="440"/>
      <c r="E266" s="440"/>
      <c r="F266" s="441">
        <v>7444</v>
      </c>
      <c r="G266" s="441">
        <v>5080</v>
      </c>
      <c r="H266" s="440">
        <v>8645</v>
      </c>
      <c r="I266" s="440">
        <v>13356</v>
      </c>
      <c r="J266" s="440">
        <v>40004</v>
      </c>
      <c r="K266" s="440"/>
      <c r="L266" s="440">
        <v>5692</v>
      </c>
      <c r="M266" s="440">
        <v>8241</v>
      </c>
      <c r="N266" s="440">
        <v>20061</v>
      </c>
      <c r="O266" s="441">
        <f>SUM(C266:N266)</f>
        <v>4296791</v>
      </c>
    </row>
    <row r="267" spans="1:15" ht="15">
      <c r="A267" s="439" t="s">
        <v>560</v>
      </c>
      <c r="B267" s="329" t="s">
        <v>561</v>
      </c>
      <c r="C267" s="440"/>
      <c r="D267" s="440"/>
      <c r="E267" s="440"/>
      <c r="F267" s="441"/>
      <c r="G267" s="440"/>
      <c r="H267" s="440"/>
      <c r="I267" s="440"/>
      <c r="J267" s="440"/>
      <c r="K267" s="440"/>
      <c r="L267" s="440"/>
      <c r="M267" s="440"/>
      <c r="N267" s="440"/>
      <c r="O267" s="441">
        <f t="shared" si="52"/>
        <v>0</v>
      </c>
    </row>
    <row r="268" spans="1:15" ht="43.5">
      <c r="A268" s="439" t="s">
        <v>562</v>
      </c>
      <c r="B268" s="442" t="s">
        <v>563</v>
      </c>
      <c r="C268" s="440"/>
      <c r="D268" s="440"/>
      <c r="E268" s="440"/>
      <c r="F268" s="441"/>
      <c r="G268" s="440"/>
      <c r="H268" s="440"/>
      <c r="I268" s="440"/>
      <c r="J268" s="440"/>
      <c r="K268" s="440"/>
      <c r="L268" s="440"/>
      <c r="M268" s="440"/>
      <c r="N268" s="440"/>
      <c r="O268" s="441"/>
    </row>
    <row r="269" spans="1:15" ht="15">
      <c r="A269" s="260"/>
      <c r="B269" s="260"/>
      <c r="C269" s="260"/>
      <c r="D269" s="260"/>
      <c r="E269" s="260"/>
      <c r="F269" s="443"/>
      <c r="G269" s="260"/>
      <c r="H269" s="260"/>
      <c r="I269" s="260"/>
      <c r="J269" s="260"/>
      <c r="K269" s="260"/>
      <c r="L269" s="260"/>
      <c r="M269" s="260"/>
      <c r="N269" s="260"/>
      <c r="O269" s="441">
        <f t="shared" si="52"/>
        <v>0</v>
      </c>
    </row>
    <row r="270" spans="1:15" ht="30">
      <c r="A270" s="444" t="s">
        <v>359</v>
      </c>
      <c r="B270" s="445" t="s">
        <v>396</v>
      </c>
      <c r="C270" s="260">
        <v>880000</v>
      </c>
      <c r="D270" s="260">
        <f>1863344-186100</f>
        <v>1677244</v>
      </c>
      <c r="E270" s="260"/>
      <c r="F270" s="443">
        <v>59378</v>
      </c>
      <c r="G270" s="260">
        <f>53103-15638</f>
        <v>37465</v>
      </c>
      <c r="H270" s="260">
        <v>15794</v>
      </c>
      <c r="I270" s="260"/>
      <c r="J270" s="260">
        <v>38672</v>
      </c>
      <c r="K270" s="260"/>
      <c r="L270" s="260">
        <v>67350</v>
      </c>
      <c r="M270" s="260">
        <f>11099-3000</f>
        <v>8099</v>
      </c>
      <c r="N270" s="260">
        <f>33618-13000</f>
        <v>20618</v>
      </c>
      <c r="O270" s="441">
        <f t="shared" si="52"/>
        <v>2804620</v>
      </c>
    </row>
    <row r="271" spans="1:15" ht="30">
      <c r="A271" s="259" t="s">
        <v>307</v>
      </c>
      <c r="B271" s="446" t="s">
        <v>308</v>
      </c>
      <c r="C271" s="441">
        <f>C50-C265-C266-C267-C268-C270</f>
        <v>8582240</v>
      </c>
      <c r="D271" s="441">
        <f aca="true" t="shared" si="54" ref="D271:N271">D50-D265-D266-D267-D270</f>
        <v>-884037</v>
      </c>
      <c r="E271" s="441">
        <f t="shared" si="54"/>
        <v>-1112215</v>
      </c>
      <c r="F271" s="441">
        <f t="shared" si="54"/>
        <v>-92742</v>
      </c>
      <c r="G271" s="441">
        <f t="shared" si="54"/>
        <v>-1926743</v>
      </c>
      <c r="H271" s="441">
        <f t="shared" si="54"/>
        <v>-279280</v>
      </c>
      <c r="I271" s="441">
        <f t="shared" si="54"/>
        <v>-744965</v>
      </c>
      <c r="J271" s="441">
        <f t="shared" si="54"/>
        <v>-1903019</v>
      </c>
      <c r="K271" s="441">
        <f t="shared" si="54"/>
        <v>-201577</v>
      </c>
      <c r="L271" s="441">
        <f t="shared" si="54"/>
        <v>-255524</v>
      </c>
      <c r="M271" s="441">
        <f t="shared" si="54"/>
        <v>-272319</v>
      </c>
      <c r="N271" s="441">
        <f t="shared" si="54"/>
        <v>-909819</v>
      </c>
      <c r="O271" s="441">
        <f t="shared" si="52"/>
        <v>0</v>
      </c>
    </row>
    <row r="272" spans="1:15" ht="15">
      <c r="A272" s="260"/>
      <c r="B272" s="447"/>
      <c r="C272" s="441"/>
      <c r="D272" s="441"/>
      <c r="E272" s="441"/>
      <c r="F272" s="441"/>
      <c r="G272" s="441"/>
      <c r="H272" s="448"/>
      <c r="I272" s="441"/>
      <c r="J272" s="448"/>
      <c r="K272" s="441"/>
      <c r="L272" s="441"/>
      <c r="M272" s="441"/>
      <c r="N272" s="441"/>
      <c r="O272" s="441"/>
    </row>
    <row r="273" spans="1:15" ht="15">
      <c r="A273" s="260"/>
      <c r="B273" s="449" t="s">
        <v>355</v>
      </c>
      <c r="C273" s="260"/>
      <c r="D273" s="260" t="s">
        <v>36</v>
      </c>
      <c r="E273" s="260"/>
      <c r="F273" s="260"/>
      <c r="G273" s="260"/>
      <c r="H273" s="260"/>
      <c r="I273" s="260"/>
      <c r="J273" s="260"/>
      <c r="K273" s="260"/>
      <c r="L273" s="260"/>
      <c r="M273" s="260"/>
      <c r="N273" s="260"/>
      <c r="O273" s="450">
        <f>O271-O34</f>
        <v>0</v>
      </c>
    </row>
    <row r="274" spans="1:15" ht="15">
      <c r="A274" s="443"/>
      <c r="B274" s="329"/>
      <c r="C274" s="441"/>
      <c r="D274" s="441"/>
      <c r="E274" s="441"/>
      <c r="F274" s="441"/>
      <c r="G274" s="465"/>
      <c r="H274" s="443"/>
      <c r="I274" s="260"/>
      <c r="J274" s="443"/>
      <c r="K274" s="443"/>
      <c r="L274" s="443"/>
      <c r="M274" s="260"/>
      <c r="N274" s="443"/>
      <c r="O274" s="443"/>
    </row>
    <row r="275" spans="1:15" ht="15">
      <c r="A275" s="443"/>
      <c r="B275" s="329"/>
      <c r="C275" s="441"/>
      <c r="D275" s="441"/>
      <c r="E275" s="441"/>
      <c r="F275" s="441"/>
      <c r="G275" s="465"/>
      <c r="H275" s="443"/>
      <c r="I275" s="260"/>
      <c r="J275" s="443"/>
      <c r="K275" s="443"/>
      <c r="L275" s="443"/>
      <c r="M275" s="260"/>
      <c r="N275" s="443"/>
      <c r="O275" s="443"/>
    </row>
    <row r="276" spans="1:15" ht="15">
      <c r="A276" s="443"/>
      <c r="B276" s="329"/>
      <c r="C276" s="441"/>
      <c r="D276" s="441"/>
      <c r="E276" s="441"/>
      <c r="F276" s="441"/>
      <c r="G276" s="465"/>
      <c r="H276" s="443"/>
      <c r="I276" s="260"/>
      <c r="J276" s="443"/>
      <c r="K276" s="443"/>
      <c r="L276" s="443"/>
      <c r="M276" s="260"/>
      <c r="N276" s="443"/>
      <c r="O276" s="443"/>
    </row>
    <row r="277" spans="1:15" ht="15">
      <c r="A277" s="260"/>
      <c r="C277" s="260"/>
      <c r="D277" s="260"/>
      <c r="E277" s="260"/>
      <c r="F277" s="260"/>
      <c r="G277" s="260"/>
      <c r="H277" s="260"/>
      <c r="I277" s="260"/>
      <c r="J277" s="260"/>
      <c r="K277" s="260"/>
      <c r="L277" s="260"/>
      <c r="M277" s="260"/>
      <c r="N277" s="260"/>
      <c r="O277" s="440"/>
    </row>
    <row r="278" spans="1:15" ht="44.25" customHeight="1" thickBot="1">
      <c r="A278" s="585" t="s">
        <v>678</v>
      </c>
      <c r="B278" s="585"/>
      <c r="C278" s="585"/>
      <c r="D278" s="585"/>
      <c r="E278" s="260"/>
      <c r="F278" s="260"/>
      <c r="G278" s="260"/>
      <c r="H278" s="260"/>
      <c r="I278" s="260"/>
      <c r="J278" s="260"/>
      <c r="K278" s="260"/>
      <c r="L278" s="260"/>
      <c r="M278" s="260"/>
      <c r="N278" s="260"/>
      <c r="O278" s="440"/>
    </row>
    <row r="279" spans="1:15" ht="90.75" thickBot="1">
      <c r="A279" s="362" t="s">
        <v>23</v>
      </c>
      <c r="B279" s="363" t="s">
        <v>159</v>
      </c>
      <c r="C279" s="290" t="s">
        <v>614</v>
      </c>
      <c r="D279" s="364" t="s">
        <v>615</v>
      </c>
      <c r="E279" s="290" t="s">
        <v>616</v>
      </c>
      <c r="F279" s="290" t="s">
        <v>617</v>
      </c>
      <c r="G279" s="365" t="s">
        <v>618</v>
      </c>
      <c r="H279" s="365" t="s">
        <v>619</v>
      </c>
      <c r="I279" s="365" t="s">
        <v>620</v>
      </c>
      <c r="J279" s="365" t="s">
        <v>621</v>
      </c>
      <c r="K279" s="365" t="s">
        <v>622</v>
      </c>
      <c r="L279" s="365" t="s">
        <v>623</v>
      </c>
      <c r="M279" s="365" t="s">
        <v>624</v>
      </c>
      <c r="N279" s="366" t="s">
        <v>625</v>
      </c>
      <c r="O279" s="367" t="s">
        <v>626</v>
      </c>
    </row>
    <row r="280" spans="1:15" ht="15">
      <c r="A280" s="466">
        <v>1100</v>
      </c>
      <c r="B280" s="334" t="s">
        <v>211</v>
      </c>
      <c r="C280" s="250">
        <f>11875045+1702153+1</f>
        <v>13577199</v>
      </c>
      <c r="D280" s="250">
        <v>963311</v>
      </c>
      <c r="E280" s="250">
        <v>640550</v>
      </c>
      <c r="F280" s="250">
        <v>71528</v>
      </c>
      <c r="G280" s="467">
        <v>1199096</v>
      </c>
      <c r="H280" s="250">
        <v>148295</v>
      </c>
      <c r="I280" s="250">
        <v>426103</v>
      </c>
      <c r="J280" s="250">
        <v>1465118</v>
      </c>
      <c r="K280" s="250">
        <v>101400</v>
      </c>
      <c r="L280" s="250">
        <v>147268</v>
      </c>
      <c r="M280" s="250">
        <v>140688</v>
      </c>
      <c r="N280" s="468">
        <v>604186</v>
      </c>
      <c r="O280" s="407">
        <f aca="true" t="shared" si="55" ref="O280:O302">SUM(C280:N280)</f>
        <v>19484742</v>
      </c>
    </row>
    <row r="281" spans="1:15" ht="45">
      <c r="A281" s="340">
        <v>1200</v>
      </c>
      <c r="B281" s="245" t="s">
        <v>309</v>
      </c>
      <c r="C281" s="214">
        <f>3532020+430071-1</f>
        <v>3962090</v>
      </c>
      <c r="D281" s="214">
        <v>232064</v>
      </c>
      <c r="E281" s="214">
        <v>188794</v>
      </c>
      <c r="F281" s="214">
        <v>21532</v>
      </c>
      <c r="G281" s="346">
        <v>433827</v>
      </c>
      <c r="H281" s="214">
        <v>44040</v>
      </c>
      <c r="I281" s="214">
        <v>128200</v>
      </c>
      <c r="J281" s="214">
        <v>450442</v>
      </c>
      <c r="K281" s="214">
        <v>30426</v>
      </c>
      <c r="L281" s="214">
        <v>44162</v>
      </c>
      <c r="M281" s="214">
        <v>40303</v>
      </c>
      <c r="N281" s="309">
        <v>179628</v>
      </c>
      <c r="O281" s="377">
        <f>SUM(C281:N281)</f>
        <v>5755508</v>
      </c>
    </row>
    <row r="282" spans="1:15" ht="15">
      <c r="A282" s="340">
        <v>2000</v>
      </c>
      <c r="B282" s="245" t="s">
        <v>191</v>
      </c>
      <c r="C282" s="214">
        <f aca="true" t="shared" si="56" ref="C282:N282">SUM(C283:C288)</f>
        <v>7207293</v>
      </c>
      <c r="D282" s="214">
        <f t="shared" si="56"/>
        <v>1604359</v>
      </c>
      <c r="E282" s="214">
        <f t="shared" si="56"/>
        <v>493549</v>
      </c>
      <c r="F282" s="214">
        <f t="shared" si="56"/>
        <v>231902</v>
      </c>
      <c r="G282" s="305">
        <f t="shared" si="56"/>
        <v>585990</v>
      </c>
      <c r="H282" s="214">
        <f t="shared" si="56"/>
        <v>234898</v>
      </c>
      <c r="I282" s="214">
        <f t="shared" si="56"/>
        <v>374183</v>
      </c>
      <c r="J282" s="214">
        <f t="shared" si="56"/>
        <v>864762</v>
      </c>
      <c r="K282" s="214">
        <f t="shared" si="56"/>
        <v>179629</v>
      </c>
      <c r="L282" s="214">
        <f t="shared" si="56"/>
        <v>108969</v>
      </c>
      <c r="M282" s="214">
        <f t="shared" si="56"/>
        <v>143579</v>
      </c>
      <c r="N282" s="309">
        <f t="shared" si="56"/>
        <v>189497</v>
      </c>
      <c r="O282" s="377">
        <f>SUM(C282:N282)</f>
        <v>12218610</v>
      </c>
    </row>
    <row r="283" spans="1:15" ht="30">
      <c r="A283" s="340">
        <v>2100</v>
      </c>
      <c r="B283" s="245" t="s">
        <v>377</v>
      </c>
      <c r="C283" s="214">
        <f>83406+586</f>
        <v>83992</v>
      </c>
      <c r="D283" s="214">
        <v>2500</v>
      </c>
      <c r="E283" s="214">
        <v>157</v>
      </c>
      <c r="F283" s="214"/>
      <c r="G283" s="305">
        <v>600</v>
      </c>
      <c r="H283" s="214">
        <v>50</v>
      </c>
      <c r="I283" s="214">
        <v>70</v>
      </c>
      <c r="J283" s="214">
        <v>4184</v>
      </c>
      <c r="K283" s="214"/>
      <c r="L283" s="214">
        <v>145</v>
      </c>
      <c r="M283" s="71">
        <v>600</v>
      </c>
      <c r="N283" s="309">
        <v>166</v>
      </c>
      <c r="O283" s="377">
        <f t="shared" si="55"/>
        <v>92464</v>
      </c>
    </row>
    <row r="284" spans="1:15" ht="15">
      <c r="A284" s="340">
        <v>2200</v>
      </c>
      <c r="B284" s="245" t="s">
        <v>193</v>
      </c>
      <c r="C284" s="214">
        <f>6163082-606683-1</f>
        <v>5556398</v>
      </c>
      <c r="D284" s="214">
        <v>1123220</v>
      </c>
      <c r="E284" s="214">
        <v>375165</v>
      </c>
      <c r="F284" s="214">
        <v>210875</v>
      </c>
      <c r="G284" s="305">
        <v>330496</v>
      </c>
      <c r="H284" s="71">
        <v>180669</v>
      </c>
      <c r="I284" s="214">
        <v>264091</v>
      </c>
      <c r="J284" s="71">
        <v>518441</v>
      </c>
      <c r="K284" s="214">
        <v>139985</v>
      </c>
      <c r="L284" s="214">
        <v>75137</v>
      </c>
      <c r="M284" s="71">
        <v>115629</v>
      </c>
      <c r="N284" s="309">
        <v>88702</v>
      </c>
      <c r="O284" s="377">
        <f t="shared" si="55"/>
        <v>8978808</v>
      </c>
    </row>
    <row r="285" spans="1:15" ht="30">
      <c r="A285" s="340">
        <v>2300</v>
      </c>
      <c r="B285" s="245" t="s">
        <v>194</v>
      </c>
      <c r="C285" s="214">
        <f>1355383+145765</f>
        <v>1501148</v>
      </c>
      <c r="D285" s="214">
        <v>210331</v>
      </c>
      <c r="E285" s="214">
        <v>112227</v>
      </c>
      <c r="F285" s="214">
        <v>9863</v>
      </c>
      <c r="G285" s="305">
        <v>252694</v>
      </c>
      <c r="H285" s="71">
        <v>48101</v>
      </c>
      <c r="I285" s="214">
        <v>105262</v>
      </c>
      <c r="J285" s="71">
        <v>327258</v>
      </c>
      <c r="K285" s="214">
        <v>36670</v>
      </c>
      <c r="L285" s="214">
        <v>30442</v>
      </c>
      <c r="M285" s="71">
        <v>26050</v>
      </c>
      <c r="N285" s="309">
        <f>97877-133</f>
        <v>97744</v>
      </c>
      <c r="O285" s="377">
        <f>SUM(C285:N285)</f>
        <v>2757790</v>
      </c>
    </row>
    <row r="286" spans="1:15" ht="15">
      <c r="A286" s="340">
        <v>2400</v>
      </c>
      <c r="B286" s="245" t="s">
        <v>195</v>
      </c>
      <c r="C286" s="214">
        <v>5720</v>
      </c>
      <c r="D286" s="214"/>
      <c r="E286" s="214"/>
      <c r="F286" s="214">
        <v>0</v>
      </c>
      <c r="G286" s="305">
        <v>1900</v>
      </c>
      <c r="H286" s="214">
        <v>900</v>
      </c>
      <c r="I286" s="214">
        <v>500</v>
      </c>
      <c r="J286" s="214">
        <v>1500</v>
      </c>
      <c r="K286" s="214">
        <v>1280</v>
      </c>
      <c r="L286" s="214">
        <v>745</v>
      </c>
      <c r="M286" s="214">
        <v>800</v>
      </c>
      <c r="N286" s="309">
        <v>1728</v>
      </c>
      <c r="O286" s="377">
        <f t="shared" si="55"/>
        <v>15073</v>
      </c>
    </row>
    <row r="287" spans="1:15" ht="15">
      <c r="A287" s="340">
        <v>2500</v>
      </c>
      <c r="B287" s="245" t="s">
        <v>196</v>
      </c>
      <c r="C287" s="214">
        <f>48600+11435</f>
        <v>60035</v>
      </c>
      <c r="D287" s="214">
        <v>268308</v>
      </c>
      <c r="E287" s="214">
        <v>6000</v>
      </c>
      <c r="F287" s="214">
        <v>11164</v>
      </c>
      <c r="G287" s="305">
        <v>300</v>
      </c>
      <c r="H287" s="214">
        <v>5178</v>
      </c>
      <c r="I287" s="214">
        <v>4260</v>
      </c>
      <c r="J287" s="214">
        <v>13379</v>
      </c>
      <c r="K287" s="214">
        <v>1694</v>
      </c>
      <c r="L287" s="214">
        <v>2500</v>
      </c>
      <c r="M287" s="214">
        <v>500</v>
      </c>
      <c r="N287" s="309">
        <v>1157</v>
      </c>
      <c r="O287" s="377">
        <f t="shared" si="55"/>
        <v>374475</v>
      </c>
    </row>
    <row r="288" spans="1:15" ht="45">
      <c r="A288" s="340">
        <v>2800</v>
      </c>
      <c r="B288" s="245" t="s">
        <v>310</v>
      </c>
      <c r="C288" s="214"/>
      <c r="D288" s="214"/>
      <c r="E288" s="214"/>
      <c r="F288" s="214"/>
      <c r="G288" s="305">
        <v>0</v>
      </c>
      <c r="H288" s="214"/>
      <c r="I288" s="214"/>
      <c r="J288" s="214"/>
      <c r="K288" s="214"/>
      <c r="L288" s="214"/>
      <c r="M288" s="214"/>
      <c r="N288" s="309"/>
      <c r="O288" s="377">
        <f t="shared" si="55"/>
        <v>0</v>
      </c>
    </row>
    <row r="289" spans="1:15" ht="30">
      <c r="A289" s="340">
        <v>3200</v>
      </c>
      <c r="B289" s="245" t="s">
        <v>311</v>
      </c>
      <c r="C289" s="214">
        <f>1959193+180666</f>
        <v>2139859</v>
      </c>
      <c r="D289" s="214"/>
      <c r="E289" s="214"/>
      <c r="F289" s="214"/>
      <c r="G289" s="305">
        <v>0</v>
      </c>
      <c r="H289" s="214"/>
      <c r="I289" s="214"/>
      <c r="J289" s="214"/>
      <c r="K289" s="214"/>
      <c r="L289" s="214"/>
      <c r="M289" s="214"/>
      <c r="N289" s="309"/>
      <c r="O289" s="377">
        <f t="shared" si="55"/>
        <v>2139859</v>
      </c>
    </row>
    <row r="290" spans="1:15" ht="15">
      <c r="A290" s="340">
        <v>4200</v>
      </c>
      <c r="B290" s="245" t="s">
        <v>679</v>
      </c>
      <c r="C290" s="214"/>
      <c r="D290" s="214"/>
      <c r="E290" s="214"/>
      <c r="F290" s="214"/>
      <c r="G290" s="305">
        <v>0</v>
      </c>
      <c r="H290" s="214"/>
      <c r="I290" s="214"/>
      <c r="J290" s="214"/>
      <c r="K290" s="214"/>
      <c r="L290" s="214"/>
      <c r="M290" s="214"/>
      <c r="N290" s="309"/>
      <c r="O290" s="377">
        <f t="shared" si="55"/>
        <v>0</v>
      </c>
    </row>
    <row r="291" spans="1:15" ht="15">
      <c r="A291" s="340">
        <v>4300</v>
      </c>
      <c r="B291" s="245" t="s">
        <v>197</v>
      </c>
      <c r="C291" s="214">
        <v>38431</v>
      </c>
      <c r="D291" s="214"/>
      <c r="E291" s="214"/>
      <c r="F291" s="214">
        <v>100</v>
      </c>
      <c r="G291" s="305">
        <v>0</v>
      </c>
      <c r="H291" s="214"/>
      <c r="I291" s="214"/>
      <c r="J291" s="214"/>
      <c r="K291" s="214"/>
      <c r="L291" s="214"/>
      <c r="M291" s="214"/>
      <c r="N291" s="309"/>
      <c r="O291" s="377">
        <f t="shared" si="55"/>
        <v>38531</v>
      </c>
    </row>
    <row r="292" spans="1:15" ht="15">
      <c r="A292" s="340">
        <v>5100</v>
      </c>
      <c r="B292" s="245" t="s">
        <v>152</v>
      </c>
      <c r="C292" s="214">
        <f>72743+11779</f>
        <v>84522</v>
      </c>
      <c r="D292" s="214"/>
      <c r="E292" s="214">
        <v>486</v>
      </c>
      <c r="F292" s="214"/>
      <c r="G292" s="305">
        <v>150</v>
      </c>
      <c r="H292" s="214">
        <v>950</v>
      </c>
      <c r="I292" s="214">
        <v>245</v>
      </c>
      <c r="J292" s="214"/>
      <c r="K292" s="214"/>
      <c r="L292" s="214">
        <v>235</v>
      </c>
      <c r="M292" s="214"/>
      <c r="N292" s="309"/>
      <c r="O292" s="377">
        <f t="shared" si="55"/>
        <v>86588</v>
      </c>
    </row>
    <row r="293" spans="1:15" ht="15">
      <c r="A293" s="340">
        <v>5200</v>
      </c>
      <c r="B293" s="245" t="s">
        <v>198</v>
      </c>
      <c r="C293" s="214">
        <f>22692006+263018+1</f>
        <v>22955025</v>
      </c>
      <c r="D293" s="214">
        <v>678422</v>
      </c>
      <c r="E293" s="214">
        <v>93451</v>
      </c>
      <c r="F293" s="214">
        <v>30177</v>
      </c>
      <c r="G293" s="305">
        <v>64754</v>
      </c>
      <c r="H293" s="214">
        <v>13624</v>
      </c>
      <c r="I293" s="214">
        <v>112649</v>
      </c>
      <c r="J293" s="214">
        <v>240242</v>
      </c>
      <c r="K293" s="214">
        <v>8161</v>
      </c>
      <c r="L293" s="214">
        <v>28023</v>
      </c>
      <c r="M293" s="214">
        <v>17498</v>
      </c>
      <c r="N293" s="309">
        <v>35240</v>
      </c>
      <c r="O293" s="377">
        <f t="shared" si="55"/>
        <v>24277266</v>
      </c>
    </row>
    <row r="294" spans="1:15" ht="15">
      <c r="A294" s="340">
        <v>6200</v>
      </c>
      <c r="B294" s="245" t="s">
        <v>199</v>
      </c>
      <c r="C294" s="214">
        <f>350828+51493</f>
        <v>402321</v>
      </c>
      <c r="D294" s="214"/>
      <c r="E294" s="214"/>
      <c r="F294" s="214"/>
      <c r="G294" s="305">
        <v>41934</v>
      </c>
      <c r="H294" s="214">
        <f>18265-2400</f>
        <v>15865</v>
      </c>
      <c r="I294" s="214">
        <f>24371-2400</f>
        <v>21971</v>
      </c>
      <c r="J294" s="214">
        <v>29578</v>
      </c>
      <c r="K294" s="214">
        <f>24269+2400</f>
        <v>26669</v>
      </c>
      <c r="L294" s="214">
        <v>14296</v>
      </c>
      <c r="M294" s="214">
        <v>14900</v>
      </c>
      <c r="N294" s="309">
        <v>24700</v>
      </c>
      <c r="O294" s="377">
        <f t="shared" si="55"/>
        <v>592234</v>
      </c>
    </row>
    <row r="295" spans="1:15" ht="15">
      <c r="A295" s="340">
        <v>6300</v>
      </c>
      <c r="B295" s="245" t="s">
        <v>200</v>
      </c>
      <c r="C295" s="214">
        <f>229000-24500</f>
        <v>204500</v>
      </c>
      <c r="D295" s="214"/>
      <c r="E295" s="214"/>
      <c r="F295" s="214"/>
      <c r="G295" s="305">
        <v>7605</v>
      </c>
      <c r="H295" s="214">
        <v>3761</v>
      </c>
      <c r="I295" s="214">
        <v>3720</v>
      </c>
      <c r="J295" s="214">
        <v>11800</v>
      </c>
      <c r="K295" s="214">
        <v>280</v>
      </c>
      <c r="L295" s="214"/>
      <c r="M295" s="214"/>
      <c r="N295" s="309">
        <v>4500</v>
      </c>
      <c r="O295" s="377">
        <f t="shared" si="55"/>
        <v>236166</v>
      </c>
    </row>
    <row r="296" spans="1:15" ht="30">
      <c r="A296" s="340">
        <v>6400</v>
      </c>
      <c r="B296" s="245" t="s">
        <v>312</v>
      </c>
      <c r="C296" s="214">
        <f>729597+32106</f>
        <v>761703</v>
      </c>
      <c r="D296" s="214"/>
      <c r="E296" s="214"/>
      <c r="F296" s="214"/>
      <c r="G296" s="305">
        <v>8775</v>
      </c>
      <c r="H296" s="214">
        <v>575</v>
      </c>
      <c r="I296" s="214">
        <v>1095</v>
      </c>
      <c r="J296" s="214">
        <v>19225</v>
      </c>
      <c r="K296" s="214">
        <v>4880</v>
      </c>
      <c r="L296" s="214"/>
      <c r="M296" s="214"/>
      <c r="N296" s="309">
        <v>2620</v>
      </c>
      <c r="O296" s="377">
        <f t="shared" si="55"/>
        <v>798873</v>
      </c>
    </row>
    <row r="297" spans="1:15" ht="30">
      <c r="A297" s="340">
        <v>6500</v>
      </c>
      <c r="B297" s="245" t="s">
        <v>378</v>
      </c>
      <c r="C297" s="214">
        <v>1595</v>
      </c>
      <c r="D297" s="214"/>
      <c r="E297" s="214"/>
      <c r="F297" s="214"/>
      <c r="G297" s="305"/>
      <c r="H297" s="214"/>
      <c r="I297" s="214"/>
      <c r="J297" s="214"/>
      <c r="K297" s="214"/>
      <c r="L297" s="214"/>
      <c r="M297" s="214"/>
      <c r="N297" s="309"/>
      <c r="O297" s="377">
        <f t="shared" si="55"/>
        <v>1595</v>
      </c>
    </row>
    <row r="298" spans="1:15" ht="15">
      <c r="A298" s="340">
        <v>7200</v>
      </c>
      <c r="B298" s="245" t="s">
        <v>313</v>
      </c>
      <c r="C298" s="214">
        <f>900506+87101</f>
        <v>987607</v>
      </c>
      <c r="D298" s="214"/>
      <c r="E298" s="214"/>
      <c r="F298" s="214"/>
      <c r="G298" s="305"/>
      <c r="H298" s="214"/>
      <c r="I298" s="214"/>
      <c r="J298" s="214"/>
      <c r="K298" s="214"/>
      <c r="L298" s="214"/>
      <c r="M298" s="214"/>
      <c r="N298" s="309"/>
      <c r="O298" s="377">
        <f>SUM(C298:N298)</f>
        <v>987607</v>
      </c>
    </row>
    <row r="299" spans="1:15" ht="15">
      <c r="A299" s="340">
        <v>7700</v>
      </c>
      <c r="B299" s="245" t="s">
        <v>680</v>
      </c>
      <c r="C299" s="214"/>
      <c r="D299" s="214"/>
      <c r="E299" s="214"/>
      <c r="F299" s="214"/>
      <c r="G299" s="305"/>
      <c r="H299" s="214"/>
      <c r="I299" s="214"/>
      <c r="J299" s="214"/>
      <c r="K299" s="214"/>
      <c r="L299" s="214"/>
      <c r="M299" s="214"/>
      <c r="N299" s="307"/>
      <c r="O299" s="377">
        <f>SUM(C299:N299)</f>
        <v>0</v>
      </c>
    </row>
    <row r="300" spans="1:15" ht="15">
      <c r="A300" s="340">
        <v>8100</v>
      </c>
      <c r="B300" s="214" t="s">
        <v>413</v>
      </c>
      <c r="C300" s="214"/>
      <c r="D300" s="214"/>
      <c r="E300" s="214"/>
      <c r="F300" s="214"/>
      <c r="G300" s="305"/>
      <c r="H300" s="214"/>
      <c r="I300" s="214"/>
      <c r="J300" s="214"/>
      <c r="K300" s="214"/>
      <c r="L300" s="214"/>
      <c r="M300" s="214"/>
      <c r="N300" s="305"/>
      <c r="O300" s="377">
        <f t="shared" si="55"/>
        <v>0</v>
      </c>
    </row>
    <row r="301" spans="1:15" ht="45">
      <c r="A301" s="340">
        <v>8900</v>
      </c>
      <c r="B301" s="318" t="s">
        <v>681</v>
      </c>
      <c r="C301" s="320"/>
      <c r="D301" s="320"/>
      <c r="E301" s="320"/>
      <c r="F301" s="320"/>
      <c r="G301" s="214"/>
      <c r="H301" s="320"/>
      <c r="I301" s="320"/>
      <c r="J301" s="320"/>
      <c r="K301" s="320"/>
      <c r="L301" s="320"/>
      <c r="M301" s="214"/>
      <c r="N301" s="314"/>
      <c r="O301" s="377">
        <f t="shared" si="55"/>
        <v>0</v>
      </c>
    </row>
    <row r="302" spans="1:15" ht="15.75" thickBot="1">
      <c r="A302" s="328">
        <v>9000</v>
      </c>
      <c r="B302" s="469" t="s">
        <v>564</v>
      </c>
      <c r="C302" s="335">
        <v>9800</v>
      </c>
      <c r="D302" s="335"/>
      <c r="E302" s="335"/>
      <c r="F302" s="335"/>
      <c r="G302" s="335"/>
      <c r="H302" s="335"/>
      <c r="I302" s="335"/>
      <c r="J302" s="335"/>
      <c r="K302" s="335"/>
      <c r="L302" s="335"/>
      <c r="M302" s="335"/>
      <c r="N302" s="337"/>
      <c r="O302" s="377">
        <f t="shared" si="55"/>
        <v>9800</v>
      </c>
    </row>
    <row r="303" spans="1:15" ht="15.75" thickBot="1">
      <c r="A303" s="438"/>
      <c r="B303" s="470" t="s">
        <v>201</v>
      </c>
      <c r="C303" s="471">
        <f>SUM(C280:C282,C289:C302)</f>
        <v>52331945</v>
      </c>
      <c r="D303" s="471">
        <f aca="true" t="shared" si="57" ref="D303:N303">SUM(D280:D282,D289:D302)</f>
        <v>3478156</v>
      </c>
      <c r="E303" s="471">
        <f t="shared" si="57"/>
        <v>1416830</v>
      </c>
      <c r="F303" s="471">
        <f t="shared" si="57"/>
        <v>355239</v>
      </c>
      <c r="G303" s="471">
        <f t="shared" si="57"/>
        <v>2342131</v>
      </c>
      <c r="H303" s="471">
        <f t="shared" si="57"/>
        <v>462008</v>
      </c>
      <c r="I303" s="471">
        <f t="shared" si="57"/>
        <v>1068166</v>
      </c>
      <c r="J303" s="471">
        <f t="shared" si="57"/>
        <v>3081167</v>
      </c>
      <c r="K303" s="471">
        <f t="shared" si="57"/>
        <v>351445</v>
      </c>
      <c r="L303" s="471">
        <f t="shared" si="57"/>
        <v>342953</v>
      </c>
      <c r="M303" s="471">
        <f t="shared" si="57"/>
        <v>356968</v>
      </c>
      <c r="N303" s="471">
        <f t="shared" si="57"/>
        <v>1040371</v>
      </c>
      <c r="O303" s="297">
        <f>SUM(C303:N303)</f>
        <v>66627379</v>
      </c>
    </row>
    <row r="304" spans="2:6" ht="15">
      <c r="B304" s="472"/>
      <c r="C304" s="456"/>
      <c r="D304" s="443"/>
      <c r="E304" s="260"/>
      <c r="F304" s="260"/>
    </row>
    <row r="305" spans="2:15" ht="15">
      <c r="B305" s="472"/>
      <c r="C305" s="456"/>
      <c r="D305" s="443"/>
      <c r="E305" s="260"/>
      <c r="F305" s="260"/>
      <c r="O305" s="440"/>
    </row>
    <row r="306" spans="2:6" ht="15">
      <c r="B306" s="473" t="s">
        <v>355</v>
      </c>
      <c r="C306" s="456"/>
      <c r="D306" s="443"/>
      <c r="E306" s="260" t="s">
        <v>36</v>
      </c>
      <c r="F306" s="260"/>
    </row>
    <row r="311" ht="15">
      <c r="B311" s="473"/>
    </row>
  </sheetData>
  <sheetProtection/>
  <mergeCells count="3">
    <mergeCell ref="A5:D5"/>
    <mergeCell ref="A60:D60"/>
    <mergeCell ref="A278:D278"/>
  </mergeCells>
  <printOptions/>
  <pageMargins left="0.4330708661417323" right="0.35433070866141736" top="0.7874015748031497" bottom="0.5905511811023623"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L113"/>
  <sheetViews>
    <sheetView zoomScalePageLayoutView="0" workbookViewId="0" topLeftCell="A1">
      <selection activeCell="N113" sqref="N113"/>
    </sheetView>
  </sheetViews>
  <sheetFormatPr defaultColWidth="9.140625" defaultRowHeight="12.75"/>
  <cols>
    <col min="1" max="1" width="41.57421875" style="28" customWidth="1"/>
    <col min="2" max="2" width="9.140625" style="28" customWidth="1"/>
    <col min="3" max="3" width="11.00390625" style="28" bestFit="1" customWidth="1"/>
    <col min="4" max="4" width="13.28125" style="53" customWidth="1"/>
    <col min="5" max="5" width="10.28125" style="28" customWidth="1"/>
    <col min="6" max="6" width="13.140625" style="28" customWidth="1"/>
    <col min="7" max="7" width="10.57421875" style="28" customWidth="1"/>
    <col min="8" max="8" width="9.140625" style="28" customWidth="1"/>
    <col min="9" max="9" width="10.00390625" style="28" bestFit="1" customWidth="1"/>
    <col min="10" max="16384" width="9.140625" style="28" customWidth="1"/>
  </cols>
  <sheetData>
    <row r="1" ht="12.75">
      <c r="D1" s="53" t="s">
        <v>37</v>
      </c>
    </row>
    <row r="2" spans="1:6" ht="18.75">
      <c r="A2" s="587" t="s">
        <v>690</v>
      </c>
      <c r="B2" s="587"/>
      <c r="C2" s="587"/>
      <c r="D2" s="587"/>
      <c r="E2" s="587"/>
      <c r="F2" s="587"/>
    </row>
    <row r="3" spans="1:7" ht="90">
      <c r="A3" s="62" t="s">
        <v>22</v>
      </c>
      <c r="B3" s="63" t="s">
        <v>23</v>
      </c>
      <c r="C3" s="24" t="s">
        <v>691</v>
      </c>
      <c r="D3" s="12" t="s">
        <v>692</v>
      </c>
      <c r="E3" s="18" t="s">
        <v>693</v>
      </c>
      <c r="F3" s="18" t="s">
        <v>694</v>
      </c>
      <c r="G3" s="64"/>
    </row>
    <row r="4" spans="1:7" ht="45">
      <c r="A4" s="445" t="s">
        <v>161</v>
      </c>
      <c r="B4" s="63" t="s">
        <v>40</v>
      </c>
      <c r="C4" s="553"/>
      <c r="D4" s="12"/>
      <c r="E4" s="12"/>
      <c r="F4" s="12"/>
      <c r="G4" s="13"/>
    </row>
    <row r="5" spans="1:7" ht="15">
      <c r="A5" s="18" t="s">
        <v>44</v>
      </c>
      <c r="B5" s="63" t="s">
        <v>26</v>
      </c>
      <c r="C5" s="21"/>
      <c r="D5" s="12"/>
      <c r="E5" s="12"/>
      <c r="F5" s="12"/>
      <c r="G5" s="13"/>
    </row>
    <row r="6" spans="1:7" ht="15">
      <c r="A6" s="18" t="s">
        <v>45</v>
      </c>
      <c r="B6" s="63" t="s">
        <v>968</v>
      </c>
      <c r="C6" s="553">
        <v>61323</v>
      </c>
      <c r="D6" s="12"/>
      <c r="E6" s="12"/>
      <c r="F6" s="12"/>
      <c r="G6" s="13"/>
    </row>
    <row r="7" spans="1:7" ht="15">
      <c r="A7" s="531" t="s">
        <v>46</v>
      </c>
      <c r="B7" s="532" t="s">
        <v>28</v>
      </c>
      <c r="C7" s="21">
        <v>17717</v>
      </c>
      <c r="D7" s="12"/>
      <c r="E7" s="12"/>
      <c r="F7" s="12"/>
      <c r="G7" s="13"/>
    </row>
    <row r="8" spans="1:7" ht="30">
      <c r="A8" s="18" t="s">
        <v>166</v>
      </c>
      <c r="B8" s="63" t="s">
        <v>165</v>
      </c>
      <c r="C8" s="21"/>
      <c r="D8" s="12"/>
      <c r="E8" s="12"/>
      <c r="F8" s="12"/>
      <c r="G8" s="13"/>
    </row>
    <row r="9" spans="1:7" ht="30">
      <c r="A9" s="18" t="s">
        <v>49</v>
      </c>
      <c r="B9" s="63" t="s">
        <v>48</v>
      </c>
      <c r="C9" s="21"/>
      <c r="D9" s="12"/>
      <c r="E9" s="12"/>
      <c r="F9" s="12"/>
      <c r="G9" s="13"/>
    </row>
    <row r="10" spans="1:7" ht="15">
      <c r="A10" s="18" t="s">
        <v>168</v>
      </c>
      <c r="B10" s="63" t="s">
        <v>167</v>
      </c>
      <c r="C10" s="21"/>
      <c r="D10" s="12"/>
      <c r="E10" s="12"/>
      <c r="F10" s="12"/>
      <c r="G10" s="13"/>
    </row>
    <row r="11" spans="1:7" ht="15">
      <c r="A11" s="18" t="s">
        <v>50</v>
      </c>
      <c r="B11" s="63" t="s">
        <v>169</v>
      </c>
      <c r="C11" s="21">
        <f>D45</f>
        <v>-393425</v>
      </c>
      <c r="D11" s="12"/>
      <c r="E11" s="12"/>
      <c r="F11" s="12"/>
      <c r="G11" s="13"/>
    </row>
    <row r="12" spans="1:7" ht="35.25" customHeight="1">
      <c r="A12" s="18" t="s">
        <v>331</v>
      </c>
      <c r="B12" s="63" t="s">
        <v>153</v>
      </c>
      <c r="C12" s="21"/>
      <c r="D12" s="12"/>
      <c r="E12" s="449">
        <v>730</v>
      </c>
      <c r="F12" s="12"/>
      <c r="G12" s="13"/>
    </row>
    <row r="13" spans="1:7" ht="48.75" customHeight="1">
      <c r="A13" s="187" t="s">
        <v>338</v>
      </c>
      <c r="B13" s="63" t="s">
        <v>339</v>
      </c>
      <c r="C13" s="21">
        <f>D51</f>
        <v>10100</v>
      </c>
      <c r="D13" s="12"/>
      <c r="E13" s="12"/>
      <c r="F13" s="12"/>
      <c r="G13" s="13"/>
    </row>
    <row r="14" spans="1:7" ht="30" customHeight="1">
      <c r="A14" s="18" t="s">
        <v>227</v>
      </c>
      <c r="B14" s="14" t="s">
        <v>226</v>
      </c>
      <c r="C14" s="21">
        <f>D72+D94+D100</f>
        <v>4269466</v>
      </c>
      <c r="D14" s="12"/>
      <c r="E14" s="12"/>
      <c r="F14" s="12"/>
      <c r="G14" s="13"/>
    </row>
    <row r="15" spans="1:7" ht="30">
      <c r="A15" s="19" t="s">
        <v>233</v>
      </c>
      <c r="B15" s="14" t="s">
        <v>170</v>
      </c>
      <c r="C15" s="22"/>
      <c r="D15" s="12"/>
      <c r="E15" s="12"/>
      <c r="F15" s="12"/>
      <c r="G15" s="13"/>
    </row>
    <row r="16" spans="1:7" ht="30">
      <c r="A16" s="19" t="s">
        <v>234</v>
      </c>
      <c r="B16" s="14" t="s">
        <v>55</v>
      </c>
      <c r="C16" s="22">
        <v>0</v>
      </c>
      <c r="D16" s="12"/>
      <c r="E16" s="12"/>
      <c r="F16" s="12"/>
      <c r="G16" s="13"/>
    </row>
    <row r="17" spans="1:7" ht="30">
      <c r="A17" s="18" t="s">
        <v>337</v>
      </c>
      <c r="B17" s="14" t="s">
        <v>206</v>
      </c>
      <c r="C17" s="22">
        <f>D105</f>
        <v>3776</v>
      </c>
      <c r="D17" s="12"/>
      <c r="E17" s="12"/>
      <c r="F17" s="12"/>
      <c r="G17" s="13"/>
    </row>
    <row r="18" spans="1:7" ht="30">
      <c r="A18" s="18" t="s">
        <v>235</v>
      </c>
      <c r="B18" s="14" t="s">
        <v>346</v>
      </c>
      <c r="C18" s="22">
        <f>D110</f>
        <v>-14000</v>
      </c>
      <c r="D18" s="13"/>
      <c r="E18" s="13">
        <v>-109835</v>
      </c>
      <c r="F18" s="13">
        <v>-13732</v>
      </c>
      <c r="G18" s="13"/>
    </row>
    <row r="19" spans="1:7" ht="30">
      <c r="A19" s="18" t="s">
        <v>361</v>
      </c>
      <c r="B19" s="14" t="s">
        <v>362</v>
      </c>
      <c r="C19" s="22"/>
      <c r="D19" s="13">
        <v>14855</v>
      </c>
      <c r="E19" s="13">
        <v>1251</v>
      </c>
      <c r="F19" s="13"/>
      <c r="G19" s="13"/>
    </row>
    <row r="20" spans="1:9" ht="14.25">
      <c r="A20" s="15" t="s">
        <v>24</v>
      </c>
      <c r="B20" s="16"/>
      <c r="C20" s="17">
        <f>SUM(C4:C19)</f>
        <v>3954957</v>
      </c>
      <c r="D20" s="17">
        <f>SUM(D4:D19)</f>
        <v>14855</v>
      </c>
      <c r="E20" s="17">
        <f>SUM(E4:E19)</f>
        <v>-107854</v>
      </c>
      <c r="F20" s="17">
        <f>SUM(F4:F19)</f>
        <v>-13732</v>
      </c>
      <c r="G20" s="17">
        <f>SUM(C20:F20)</f>
        <v>3848226</v>
      </c>
      <c r="I20" s="53"/>
    </row>
    <row r="21" spans="1:7" ht="14.25">
      <c r="A21" s="15" t="s">
        <v>565</v>
      </c>
      <c r="B21" s="16"/>
      <c r="C21" s="103"/>
      <c r="D21" s="17"/>
      <c r="E21" s="16"/>
      <c r="F21" s="16"/>
      <c r="G21" s="17">
        <f>SUM(C21:F21)</f>
        <v>0</v>
      </c>
    </row>
    <row r="22" spans="1:7" ht="15">
      <c r="A22" s="26" t="s">
        <v>964</v>
      </c>
      <c r="B22" s="27"/>
      <c r="C22" s="103">
        <f>C38</f>
        <v>444502</v>
      </c>
      <c r="G22" s="17">
        <f>SUM(C22:F22)</f>
        <v>444502</v>
      </c>
    </row>
    <row r="23" spans="1:7" ht="15">
      <c r="A23" s="26" t="s">
        <v>963</v>
      </c>
      <c r="B23" s="27"/>
      <c r="C23" s="103"/>
      <c r="G23" s="17"/>
    </row>
    <row r="24" spans="1:7" ht="47.25">
      <c r="A24" s="510" t="s">
        <v>881</v>
      </c>
      <c r="B24" s="59"/>
      <c r="C24" s="220">
        <v>260000</v>
      </c>
      <c r="G24" s="17"/>
    </row>
    <row r="25" spans="1:7" ht="31.5">
      <c r="A25" s="57" t="s">
        <v>535</v>
      </c>
      <c r="B25" s="59"/>
      <c r="C25" s="220">
        <v>-27182</v>
      </c>
      <c r="G25" s="17"/>
    </row>
    <row r="26" spans="1:7" ht="31.5">
      <c r="A26" s="282" t="s">
        <v>553</v>
      </c>
      <c r="B26" s="59"/>
      <c r="C26" s="117">
        <v>-1400000</v>
      </c>
      <c r="G26" s="17"/>
    </row>
    <row r="27" spans="1:7" ht="31.5">
      <c r="A27" s="282" t="s">
        <v>483</v>
      </c>
      <c r="B27" s="59"/>
      <c r="C27" s="117">
        <v>-62900</v>
      </c>
      <c r="G27" s="17"/>
    </row>
    <row r="28" spans="1:7" ht="45">
      <c r="A28" s="242" t="s">
        <v>883</v>
      </c>
      <c r="B28" s="59"/>
      <c r="C28" s="220">
        <v>419904</v>
      </c>
      <c r="G28" s="17"/>
    </row>
    <row r="29" spans="1:7" ht="15.75">
      <c r="A29" s="282" t="s">
        <v>861</v>
      </c>
      <c r="B29" s="59"/>
      <c r="C29" s="220">
        <v>367859</v>
      </c>
      <c r="G29" s="17"/>
    </row>
    <row r="30" spans="1:7" ht="30">
      <c r="A30" s="242" t="s">
        <v>727</v>
      </c>
      <c r="B30" s="59"/>
      <c r="C30" s="220">
        <v>72314</v>
      </c>
      <c r="G30" s="17"/>
    </row>
    <row r="31" spans="1:7" ht="15.75">
      <c r="A31" s="282" t="s">
        <v>850</v>
      </c>
      <c r="B31" s="59"/>
      <c r="C31" s="220">
        <v>71001</v>
      </c>
      <c r="G31" s="17"/>
    </row>
    <row r="32" spans="1:7" ht="15.75">
      <c r="A32" s="282" t="s">
        <v>849</v>
      </c>
      <c r="B32" s="59"/>
      <c r="C32" s="220">
        <v>193848</v>
      </c>
      <c r="G32" s="17"/>
    </row>
    <row r="33" spans="1:7" ht="15.75">
      <c r="A33" s="242" t="s">
        <v>845</v>
      </c>
      <c r="B33" s="59"/>
      <c r="C33" s="220">
        <v>156326</v>
      </c>
      <c r="G33" s="17"/>
    </row>
    <row r="34" spans="1:7" ht="15.75">
      <c r="A34" s="282" t="s">
        <v>843</v>
      </c>
      <c r="B34" s="59"/>
      <c r="C34" s="220">
        <v>89843</v>
      </c>
      <c r="G34" s="17"/>
    </row>
    <row r="35" spans="1:7" ht="45">
      <c r="A35" s="242" t="s">
        <v>884</v>
      </c>
      <c r="B35" s="59"/>
      <c r="C35" s="220">
        <v>222489</v>
      </c>
      <c r="G35" s="17"/>
    </row>
    <row r="36" spans="1:7" ht="15.75">
      <c r="A36" s="57" t="s">
        <v>526</v>
      </c>
      <c r="B36" s="59"/>
      <c r="C36" s="220">
        <v>81000</v>
      </c>
      <c r="G36" s="17"/>
    </row>
    <row r="37" spans="1:7" ht="15.75">
      <c r="A37" s="57"/>
      <c r="B37" s="59"/>
      <c r="C37" s="117"/>
      <c r="G37" s="17"/>
    </row>
    <row r="38" spans="1:7" ht="15">
      <c r="A38" s="123" t="s">
        <v>24</v>
      </c>
      <c r="B38" s="27"/>
      <c r="C38" s="103">
        <f>SUM(C24:C37)</f>
        <v>444502</v>
      </c>
      <c r="G38" s="17"/>
    </row>
    <row r="39" spans="1:7" ht="15">
      <c r="A39" s="26"/>
      <c r="B39" s="60"/>
      <c r="C39" s="13"/>
      <c r="G39" s="17"/>
    </row>
    <row r="40" spans="1:7" ht="18.75">
      <c r="A40" s="586" t="s">
        <v>393</v>
      </c>
      <c r="B40" s="586"/>
      <c r="C40" s="586"/>
      <c r="D40" s="586"/>
      <c r="E40" s="586"/>
      <c r="F40" s="586"/>
      <c r="G40" s="586"/>
    </row>
    <row r="41" spans="1:7" ht="15.75">
      <c r="A41" s="26"/>
      <c r="B41" s="60"/>
      <c r="C41" s="53"/>
      <c r="D41" s="238" t="s">
        <v>334</v>
      </c>
      <c r="G41" s="17"/>
    </row>
    <row r="42" spans="1:12" ht="30">
      <c r="A42" s="66" t="s">
        <v>734</v>
      </c>
      <c r="B42" s="58"/>
      <c r="C42" s="58"/>
      <c r="D42" s="476">
        <v>5000</v>
      </c>
      <c r="E42" s="477"/>
      <c r="F42" s="477"/>
      <c r="G42" s="43"/>
      <c r="H42" s="477"/>
      <c r="I42" s="477">
        <v>12.399</v>
      </c>
      <c r="J42" s="478"/>
      <c r="K42" s="479" t="s">
        <v>295</v>
      </c>
      <c r="L42" s="477" t="s">
        <v>574</v>
      </c>
    </row>
    <row r="43" spans="1:12" ht="30">
      <c r="A43" s="66" t="s">
        <v>789</v>
      </c>
      <c r="B43" s="480"/>
      <c r="C43" s="36"/>
      <c r="D43" s="476">
        <v>1575</v>
      </c>
      <c r="E43" s="477"/>
      <c r="F43" s="477"/>
      <c r="G43" s="43"/>
      <c r="H43" s="477"/>
      <c r="I43" s="477">
        <v>12.399</v>
      </c>
      <c r="J43" s="478"/>
      <c r="K43" s="479" t="s">
        <v>265</v>
      </c>
      <c r="L43" s="477" t="s">
        <v>574</v>
      </c>
    </row>
    <row r="44" spans="1:12" ht="31.5">
      <c r="A44" s="57" t="s">
        <v>890</v>
      </c>
      <c r="B44" s="480"/>
      <c r="C44" s="36"/>
      <c r="D44" s="476">
        <v>-400000</v>
      </c>
      <c r="E44" s="477"/>
      <c r="F44" s="477"/>
      <c r="G44" s="43"/>
      <c r="H44" s="477"/>
      <c r="I44" s="477">
        <v>12.399</v>
      </c>
      <c r="J44" s="478"/>
      <c r="K44" s="217" t="s">
        <v>572</v>
      </c>
      <c r="L44" s="477" t="s">
        <v>574</v>
      </c>
    </row>
    <row r="45" spans="1:12" ht="15.75">
      <c r="A45" s="69"/>
      <c r="B45" s="480"/>
      <c r="C45" s="59" t="s">
        <v>314</v>
      </c>
      <c r="D45" s="482">
        <f>SUM(D42:D44)</f>
        <v>-393425</v>
      </c>
      <c r="E45" s="477"/>
      <c r="F45" s="477"/>
      <c r="G45" s="43"/>
      <c r="H45" s="477"/>
      <c r="I45" s="477"/>
      <c r="J45" s="477"/>
      <c r="K45" s="477"/>
      <c r="L45" s="477"/>
    </row>
    <row r="46" spans="1:7" ht="15">
      <c r="A46" s="26"/>
      <c r="B46" s="60"/>
      <c r="C46" s="53"/>
      <c r="G46" s="17"/>
    </row>
    <row r="47" spans="1:7" ht="15">
      <c r="A47" s="26"/>
      <c r="B47" s="60"/>
      <c r="C47" s="53"/>
      <c r="G47" s="17"/>
    </row>
    <row r="48" spans="1:7" ht="38.25" customHeight="1">
      <c r="A48" s="588" t="s">
        <v>594</v>
      </c>
      <c r="B48" s="588"/>
      <c r="C48" s="588"/>
      <c r="D48" s="588"/>
      <c r="E48" s="588"/>
      <c r="F48" s="588"/>
      <c r="G48" s="17"/>
    </row>
    <row r="49" spans="1:7" ht="15.75">
      <c r="A49" s="26"/>
      <c r="B49" s="60"/>
      <c r="C49" s="53"/>
      <c r="D49" s="238" t="s">
        <v>334</v>
      </c>
      <c r="G49" s="17"/>
    </row>
    <row r="50" spans="1:12" ht="31.5" customHeight="1">
      <c r="A50" s="209" t="s">
        <v>559</v>
      </c>
      <c r="B50" s="480"/>
      <c r="C50" s="36"/>
      <c r="D50" s="33">
        <v>10100</v>
      </c>
      <c r="E50" s="477"/>
      <c r="F50" s="477"/>
      <c r="G50" s="43"/>
      <c r="H50" s="477"/>
      <c r="I50" s="477"/>
      <c r="J50" s="477"/>
      <c r="K50" s="483" t="s">
        <v>394</v>
      </c>
      <c r="L50" s="59" t="s">
        <v>574</v>
      </c>
    </row>
    <row r="51" spans="1:7" ht="15.75">
      <c r="A51" s="26"/>
      <c r="B51" s="60"/>
      <c r="C51" s="53"/>
      <c r="D51" s="239">
        <f>SUM(D50:D50)</f>
        <v>10100</v>
      </c>
      <c r="G51" s="17"/>
    </row>
    <row r="52" spans="1:7" ht="15">
      <c r="A52" s="26"/>
      <c r="B52" s="60"/>
      <c r="C52" s="53"/>
      <c r="G52" s="17"/>
    </row>
    <row r="53" spans="1:7" ht="18" customHeight="1">
      <c r="A53" s="586" t="s">
        <v>344</v>
      </c>
      <c r="B53" s="586"/>
      <c r="C53" s="586"/>
      <c r="D53" s="586"/>
      <c r="E53" s="586"/>
      <c r="F53" s="586"/>
      <c r="G53" s="586"/>
    </row>
    <row r="54" ht="15.75">
      <c r="D54" s="238" t="s">
        <v>334</v>
      </c>
    </row>
    <row r="55" spans="1:12" ht="30">
      <c r="A55" s="66" t="s">
        <v>599</v>
      </c>
      <c r="B55" s="59"/>
      <c r="C55" s="59"/>
      <c r="D55" s="484">
        <v>2059978</v>
      </c>
      <c r="E55" s="477"/>
      <c r="F55" s="477"/>
      <c r="G55" s="477"/>
      <c r="H55" s="477"/>
      <c r="I55" s="74" t="s">
        <v>602</v>
      </c>
      <c r="J55" s="477"/>
      <c r="K55" s="479" t="s">
        <v>572</v>
      </c>
      <c r="L55" s="477" t="s">
        <v>573</v>
      </c>
    </row>
    <row r="56" spans="1:12" ht="30">
      <c r="A56" s="66" t="s">
        <v>600</v>
      </c>
      <c r="B56" s="59"/>
      <c r="C56" s="59"/>
      <c r="D56" s="484">
        <v>113760</v>
      </c>
      <c r="E56" s="477"/>
      <c r="F56" s="477"/>
      <c r="G56" s="477"/>
      <c r="H56" s="477"/>
      <c r="I56" s="74" t="s">
        <v>602</v>
      </c>
      <c r="J56" s="477"/>
      <c r="K56" s="479" t="s">
        <v>572</v>
      </c>
      <c r="L56" s="477" t="s">
        <v>573</v>
      </c>
    </row>
    <row r="57" spans="1:12" ht="30">
      <c r="A57" s="66" t="s">
        <v>601</v>
      </c>
      <c r="B57" s="59"/>
      <c r="C57" s="59"/>
      <c r="D57" s="484">
        <v>288577</v>
      </c>
      <c r="E57" s="477"/>
      <c r="F57" s="477"/>
      <c r="G57" s="477"/>
      <c r="H57" s="477"/>
      <c r="I57" s="74" t="s">
        <v>603</v>
      </c>
      <c r="J57" s="477"/>
      <c r="K57" s="479" t="s">
        <v>572</v>
      </c>
      <c r="L57" s="477" t="s">
        <v>573</v>
      </c>
    </row>
    <row r="58" spans="1:12" ht="30">
      <c r="A58" s="66" t="s">
        <v>578</v>
      </c>
      <c r="B58" s="59"/>
      <c r="C58" s="59"/>
      <c r="D58" s="487">
        <v>4301</v>
      </c>
      <c r="E58" s="477"/>
      <c r="F58" s="477"/>
      <c r="G58" s="477"/>
      <c r="H58" s="477"/>
      <c r="I58" s="479" t="s">
        <v>580</v>
      </c>
      <c r="J58" s="477"/>
      <c r="K58" s="74" t="s">
        <v>295</v>
      </c>
      <c r="L58" s="477" t="s">
        <v>573</v>
      </c>
    </row>
    <row r="59" spans="1:12" ht="30">
      <c r="A59" s="66" t="s">
        <v>579</v>
      </c>
      <c r="B59" s="59"/>
      <c r="C59" s="59"/>
      <c r="D59" s="486">
        <v>2499</v>
      </c>
      <c r="E59" s="477"/>
      <c r="F59" s="477"/>
      <c r="G59" s="477"/>
      <c r="H59" s="477"/>
      <c r="I59" s="479" t="s">
        <v>580</v>
      </c>
      <c r="J59" s="477"/>
      <c r="K59" s="74" t="s">
        <v>296</v>
      </c>
      <c r="L59" s="477" t="s">
        <v>573</v>
      </c>
    </row>
    <row r="60" spans="1:12" ht="30">
      <c r="A60" s="66" t="s">
        <v>947</v>
      </c>
      <c r="B60" s="59"/>
      <c r="C60" s="59"/>
      <c r="D60" s="487">
        <v>8758</v>
      </c>
      <c r="E60" s="477"/>
      <c r="F60" s="477"/>
      <c r="G60" s="477"/>
      <c r="H60" s="477"/>
      <c r="I60" s="74" t="s">
        <v>595</v>
      </c>
      <c r="J60" s="59"/>
      <c r="K60" s="74" t="s">
        <v>714</v>
      </c>
      <c r="L60" s="477" t="s">
        <v>573</v>
      </c>
    </row>
    <row r="61" spans="1:12" ht="15.75">
      <c r="A61" s="57" t="s">
        <v>575</v>
      </c>
      <c r="B61" s="59"/>
      <c r="C61" s="59"/>
      <c r="D61" s="488">
        <v>1675</v>
      </c>
      <c r="E61" s="477"/>
      <c r="F61" s="477"/>
      <c r="G61" s="477"/>
      <c r="H61" s="477"/>
      <c r="I61" s="489">
        <v>186221</v>
      </c>
      <c r="J61" s="477"/>
      <c r="K61" s="479" t="s">
        <v>471</v>
      </c>
      <c r="L61" s="477" t="s">
        <v>573</v>
      </c>
    </row>
    <row r="62" spans="1:12" ht="30">
      <c r="A62" s="69" t="s">
        <v>695</v>
      </c>
      <c r="B62" s="59"/>
      <c r="C62" s="59"/>
      <c r="D62" s="488">
        <v>6820</v>
      </c>
      <c r="E62" s="477"/>
      <c r="F62" s="477"/>
      <c r="G62" s="477"/>
      <c r="H62" s="477"/>
      <c r="I62" s="489">
        <v>186206</v>
      </c>
      <c r="J62" s="477"/>
      <c r="K62" s="479" t="s">
        <v>268</v>
      </c>
      <c r="L62" s="477" t="s">
        <v>573</v>
      </c>
    </row>
    <row r="63" spans="1:12" ht="15.75">
      <c r="A63" s="69" t="s">
        <v>696</v>
      </c>
      <c r="B63" s="59"/>
      <c r="C63" s="59"/>
      <c r="D63" s="488">
        <v>4000</v>
      </c>
      <c r="E63" s="477"/>
      <c r="F63" s="477"/>
      <c r="G63" s="477"/>
      <c r="H63" s="477"/>
      <c r="I63" s="489">
        <v>186206</v>
      </c>
      <c r="J63" s="477"/>
      <c r="K63" s="479" t="s">
        <v>297</v>
      </c>
      <c r="L63" s="477" t="s">
        <v>573</v>
      </c>
    </row>
    <row r="64" spans="1:12" ht="45">
      <c r="A64" s="69" t="s">
        <v>576</v>
      </c>
      <c r="B64" s="59"/>
      <c r="C64" s="59"/>
      <c r="D64" s="488">
        <v>1554</v>
      </c>
      <c r="E64" s="477"/>
      <c r="F64" s="477"/>
      <c r="G64" s="477"/>
      <c r="H64" s="477"/>
      <c r="I64" s="489">
        <v>186206</v>
      </c>
      <c r="J64" s="477"/>
      <c r="K64" s="479" t="s">
        <v>298</v>
      </c>
      <c r="L64" s="477" t="s">
        <v>573</v>
      </c>
    </row>
    <row r="65" spans="1:12" ht="30">
      <c r="A65" s="69" t="s">
        <v>697</v>
      </c>
      <c r="B65" s="59"/>
      <c r="C65" s="59"/>
      <c r="D65" s="488">
        <v>540</v>
      </c>
      <c r="E65" s="477"/>
      <c r="F65" s="477"/>
      <c r="G65" s="477"/>
      <c r="H65" s="477"/>
      <c r="I65" s="489"/>
      <c r="J65" s="477"/>
      <c r="K65" s="485" t="s">
        <v>267</v>
      </c>
      <c r="L65" s="477" t="s">
        <v>573</v>
      </c>
    </row>
    <row r="66" spans="1:12" ht="45">
      <c r="A66" s="66" t="s">
        <v>708</v>
      </c>
      <c r="B66" s="59"/>
      <c r="C66" s="59"/>
      <c r="D66" s="481">
        <v>13125</v>
      </c>
      <c r="E66" s="477"/>
      <c r="F66" s="477"/>
      <c r="G66" s="477"/>
      <c r="H66" s="477"/>
      <c r="I66" s="552">
        <v>186216</v>
      </c>
      <c r="J66" s="477"/>
      <c r="K66" s="479" t="s">
        <v>572</v>
      </c>
      <c r="L66" s="477" t="s">
        <v>573</v>
      </c>
    </row>
    <row r="67" spans="1:12" ht="15.75">
      <c r="A67" s="66" t="s">
        <v>892</v>
      </c>
      <c r="B67" s="59"/>
      <c r="C67" s="59"/>
      <c r="D67" s="481">
        <v>-43941</v>
      </c>
      <c r="E67" s="477"/>
      <c r="F67" s="477"/>
      <c r="G67" s="477"/>
      <c r="H67" s="477"/>
      <c r="I67" s="489">
        <v>186216</v>
      </c>
      <c r="J67" s="477"/>
      <c r="K67" s="479" t="s">
        <v>662</v>
      </c>
      <c r="L67" s="477" t="s">
        <v>573</v>
      </c>
    </row>
    <row r="68" spans="1:12" ht="75">
      <c r="A68" s="490" t="s">
        <v>577</v>
      </c>
      <c r="B68" s="59"/>
      <c r="C68" s="59"/>
      <c r="D68" s="476">
        <f>2149+1600</f>
        <v>3749</v>
      </c>
      <c r="E68" s="477"/>
      <c r="F68" s="477"/>
      <c r="G68" s="477"/>
      <c r="H68" s="477"/>
      <c r="I68" s="491">
        <v>18.6217</v>
      </c>
      <c r="J68" s="477"/>
      <c r="K68" s="485" t="s">
        <v>398</v>
      </c>
      <c r="L68" s="477" t="s">
        <v>573</v>
      </c>
    </row>
    <row r="69" spans="1:12" ht="15.75">
      <c r="A69" s="490" t="s">
        <v>888</v>
      </c>
      <c r="B69" s="59"/>
      <c r="C69" s="59"/>
      <c r="D69" s="481">
        <v>3160</v>
      </c>
      <c r="E69" s="477"/>
      <c r="F69" s="477"/>
      <c r="G69" s="477"/>
      <c r="H69" s="477"/>
      <c r="I69" s="74" t="s">
        <v>581</v>
      </c>
      <c r="J69" s="59"/>
      <c r="K69" s="74" t="s">
        <v>517</v>
      </c>
      <c r="L69" s="477" t="s">
        <v>574</v>
      </c>
    </row>
    <row r="70" spans="1:12" ht="45">
      <c r="A70" s="26" t="s">
        <v>810</v>
      </c>
      <c r="B70" s="59"/>
      <c r="C70" s="59"/>
      <c r="D70" s="476">
        <v>4281</v>
      </c>
      <c r="E70" s="477"/>
      <c r="F70" s="477"/>
      <c r="G70" s="477"/>
      <c r="H70" s="477"/>
      <c r="I70" s="28">
        <v>186214</v>
      </c>
      <c r="J70" s="477"/>
      <c r="K70" s="28">
        <v>9.82047</v>
      </c>
      <c r="L70" s="477" t="s">
        <v>574</v>
      </c>
    </row>
    <row r="71" spans="1:12" ht="30">
      <c r="A71" s="69" t="s">
        <v>905</v>
      </c>
      <c r="B71" s="59"/>
      <c r="C71" s="59"/>
      <c r="D71" s="481">
        <v>27182</v>
      </c>
      <c r="E71" s="477"/>
      <c r="F71" s="477"/>
      <c r="G71" s="477"/>
      <c r="H71" s="477"/>
      <c r="I71" s="489">
        <v>186214</v>
      </c>
      <c r="J71" s="477"/>
      <c r="K71" s="485" t="s">
        <v>534</v>
      </c>
      <c r="L71" s="477" t="s">
        <v>574</v>
      </c>
    </row>
    <row r="72" spans="1:4" s="27" customFormat="1" ht="18.75" customHeight="1">
      <c r="A72" s="76"/>
      <c r="C72" s="27" t="s">
        <v>314</v>
      </c>
      <c r="D72" s="108">
        <f>SUM(D55:D71)</f>
        <v>2500018</v>
      </c>
    </row>
    <row r="73" spans="1:4" s="27" customFormat="1" ht="15">
      <c r="A73" s="26"/>
      <c r="D73" s="17"/>
    </row>
    <row r="74" spans="1:7" s="27" customFormat="1" ht="45" customHeight="1">
      <c r="A74" s="586" t="s">
        <v>340</v>
      </c>
      <c r="B74" s="586"/>
      <c r="C74" s="586"/>
      <c r="D74" s="586"/>
      <c r="E74" s="586"/>
      <c r="F74" s="586"/>
      <c r="G74" s="586"/>
    </row>
    <row r="75" spans="1:4" s="27" customFormat="1" ht="15.75">
      <c r="A75" s="26"/>
      <c r="D75" s="238" t="s">
        <v>334</v>
      </c>
    </row>
    <row r="76" spans="1:4" s="27" customFormat="1" ht="15.75">
      <c r="A76" s="122"/>
      <c r="D76" s="116"/>
    </row>
    <row r="77" spans="1:12" s="27" customFormat="1" ht="30">
      <c r="A77" s="525" t="s">
        <v>832</v>
      </c>
      <c r="B77" s="492"/>
      <c r="C77" s="492"/>
      <c r="D77" s="487">
        <v>335121</v>
      </c>
      <c r="E77" s="59"/>
      <c r="F77" s="59"/>
      <c r="G77" s="59"/>
      <c r="H77" s="59"/>
      <c r="I77" s="59"/>
      <c r="J77" s="59"/>
      <c r="K77" s="162" t="s">
        <v>366</v>
      </c>
      <c r="L77" s="59" t="s">
        <v>574</v>
      </c>
    </row>
    <row r="78" spans="1:12" s="27" customFormat="1" ht="30.75" customHeight="1">
      <c r="A78" s="251" t="s">
        <v>591</v>
      </c>
      <c r="B78" s="59"/>
      <c r="C78" s="59"/>
      <c r="D78" s="488">
        <v>11198</v>
      </c>
      <c r="E78" s="59"/>
      <c r="F78" s="59"/>
      <c r="G78" s="59"/>
      <c r="H78" s="59"/>
      <c r="I78" s="59"/>
      <c r="J78" s="59"/>
      <c r="K78" s="74" t="s">
        <v>592</v>
      </c>
      <c r="L78" s="59" t="s">
        <v>574</v>
      </c>
    </row>
    <row r="79" spans="1:12" s="27" customFormat="1" ht="78.75">
      <c r="A79" s="57" t="s">
        <v>524</v>
      </c>
      <c r="B79" s="57"/>
      <c r="C79" s="57"/>
      <c r="D79" s="488">
        <v>924579</v>
      </c>
      <c r="E79" s="59"/>
      <c r="F79" s="59"/>
      <c r="G79" s="59"/>
      <c r="H79" s="59"/>
      <c r="I79" s="59"/>
      <c r="J79" s="59"/>
      <c r="K79" s="74" t="s">
        <v>368</v>
      </c>
      <c r="L79" s="59" t="s">
        <v>574</v>
      </c>
    </row>
    <row r="80" spans="1:12" s="27" customFormat="1" ht="15.75">
      <c r="A80" s="209" t="s">
        <v>833</v>
      </c>
      <c r="B80" s="510"/>
      <c r="C80" s="510"/>
      <c r="D80" s="488">
        <v>39200</v>
      </c>
      <c r="E80" s="59"/>
      <c r="F80" s="59"/>
      <c r="G80" s="59"/>
      <c r="H80" s="59"/>
      <c r="I80" s="59"/>
      <c r="J80" s="59"/>
      <c r="K80" s="162" t="s">
        <v>520</v>
      </c>
      <c r="L80" s="59" t="s">
        <v>574</v>
      </c>
    </row>
    <row r="81" spans="1:12" s="27" customFormat="1" ht="65.25" customHeight="1">
      <c r="A81" s="528" t="s">
        <v>874</v>
      </c>
      <c r="B81" s="510"/>
      <c r="C81" s="510"/>
      <c r="D81" s="484">
        <v>43996</v>
      </c>
      <c r="E81" s="59"/>
      <c r="F81" s="59"/>
      <c r="G81" s="59"/>
      <c r="H81" s="59"/>
      <c r="I81" s="59"/>
      <c r="J81" s="59"/>
      <c r="K81" s="162" t="s">
        <v>371</v>
      </c>
      <c r="L81" s="59" t="s">
        <v>574</v>
      </c>
    </row>
    <row r="82" spans="1:12" s="27" customFormat="1" ht="47.25">
      <c r="A82" s="528" t="s">
        <v>875</v>
      </c>
      <c r="B82" s="510"/>
      <c r="C82" s="510"/>
      <c r="D82" s="484">
        <v>264965</v>
      </c>
      <c r="E82" s="59"/>
      <c r="F82" s="59"/>
      <c r="G82" s="59"/>
      <c r="H82" s="59"/>
      <c r="I82" s="59"/>
      <c r="J82" s="59"/>
      <c r="K82" s="162" t="s">
        <v>572</v>
      </c>
      <c r="L82" s="59" t="s">
        <v>574</v>
      </c>
    </row>
    <row r="83" spans="1:12" s="27" customFormat="1" ht="63">
      <c r="A83" s="282" t="s">
        <v>834</v>
      </c>
      <c r="B83" s="510"/>
      <c r="C83" s="510"/>
      <c r="D83" s="488">
        <v>16651</v>
      </c>
      <c r="E83" s="59"/>
      <c r="F83" s="59"/>
      <c r="G83" s="59"/>
      <c r="H83" s="59"/>
      <c r="I83" s="59"/>
      <c r="J83" s="59"/>
      <c r="K83" s="162" t="s">
        <v>638</v>
      </c>
      <c r="L83" s="59" t="s">
        <v>574</v>
      </c>
    </row>
    <row r="84" spans="1:12" s="27" customFormat="1" ht="48.75" customHeight="1">
      <c r="A84" s="69" t="s">
        <v>813</v>
      </c>
      <c r="B84" s="510"/>
      <c r="C84" s="510"/>
      <c r="D84" s="488">
        <v>800</v>
      </c>
      <c r="E84" s="59"/>
      <c r="F84" s="59"/>
      <c r="G84" s="59"/>
      <c r="H84" s="59"/>
      <c r="I84" s="59"/>
      <c r="J84" s="59"/>
      <c r="K84" s="162" t="s">
        <v>814</v>
      </c>
      <c r="L84" s="59" t="s">
        <v>574</v>
      </c>
    </row>
    <row r="85" spans="1:12" s="27" customFormat="1" ht="48.75" customHeight="1">
      <c r="A85" s="69" t="s">
        <v>838</v>
      </c>
      <c r="B85" s="510"/>
      <c r="C85" s="510"/>
      <c r="D85" s="488">
        <v>27500</v>
      </c>
      <c r="E85" s="59"/>
      <c r="F85" s="59"/>
      <c r="G85" s="59"/>
      <c r="H85" s="59"/>
      <c r="I85" s="59"/>
      <c r="J85" s="59"/>
      <c r="K85" s="162" t="s">
        <v>407</v>
      </c>
      <c r="L85" s="59" t="s">
        <v>574</v>
      </c>
    </row>
    <row r="86" spans="1:12" s="27" customFormat="1" ht="48.75" customHeight="1">
      <c r="A86" s="69" t="s">
        <v>804</v>
      </c>
      <c r="B86" s="510"/>
      <c r="C86" s="510"/>
      <c r="D86" s="488">
        <v>1692</v>
      </c>
      <c r="E86" s="59"/>
      <c r="F86" s="59"/>
      <c r="G86" s="59"/>
      <c r="H86" s="59"/>
      <c r="I86" s="59"/>
      <c r="J86" s="59"/>
      <c r="K86" s="162" t="s">
        <v>805</v>
      </c>
      <c r="L86" s="59" t="s">
        <v>574</v>
      </c>
    </row>
    <row r="87" spans="1:12" s="27" customFormat="1" ht="60">
      <c r="A87" s="69" t="s">
        <v>835</v>
      </c>
      <c r="B87" s="510"/>
      <c r="C87" s="510"/>
      <c r="D87" s="488">
        <v>1800</v>
      </c>
      <c r="E87" s="59"/>
      <c r="F87" s="59"/>
      <c r="G87" s="59"/>
      <c r="H87" s="59"/>
      <c r="I87" s="59"/>
      <c r="J87" s="59"/>
      <c r="K87" s="162" t="s">
        <v>709</v>
      </c>
      <c r="L87" s="59" t="s">
        <v>574</v>
      </c>
    </row>
    <row r="88" spans="1:12" s="27" customFormat="1" ht="45">
      <c r="A88" s="69" t="s">
        <v>816</v>
      </c>
      <c r="B88" s="59"/>
      <c r="C88" s="59"/>
      <c r="D88" s="488">
        <v>2600</v>
      </c>
      <c r="E88" s="59"/>
      <c r="F88" s="59"/>
      <c r="G88" s="59"/>
      <c r="H88" s="59"/>
      <c r="I88" s="59"/>
      <c r="J88" s="59"/>
      <c r="K88" s="162" t="s">
        <v>817</v>
      </c>
      <c r="L88" s="59" t="s">
        <v>574</v>
      </c>
    </row>
    <row r="89" spans="1:12" s="27" customFormat="1" ht="45">
      <c r="A89" s="69" t="s">
        <v>818</v>
      </c>
      <c r="B89" s="59"/>
      <c r="C89" s="59"/>
      <c r="D89" s="488">
        <v>900</v>
      </c>
      <c r="E89" s="59"/>
      <c r="F89" s="59"/>
      <c r="G89" s="59"/>
      <c r="H89" s="59"/>
      <c r="I89" s="59"/>
      <c r="J89" s="59"/>
      <c r="K89" s="162" t="s">
        <v>819</v>
      </c>
      <c r="L89" s="59" t="s">
        <v>574</v>
      </c>
    </row>
    <row r="90" spans="1:12" s="27" customFormat="1" ht="45">
      <c r="A90" s="69" t="s">
        <v>822</v>
      </c>
      <c r="B90" s="59"/>
      <c r="C90" s="59"/>
      <c r="D90" s="488">
        <v>1100</v>
      </c>
      <c r="E90" s="59"/>
      <c r="F90" s="59"/>
      <c r="G90" s="59"/>
      <c r="H90" s="59"/>
      <c r="I90" s="59"/>
      <c r="J90" s="59"/>
      <c r="K90" s="162" t="s">
        <v>823</v>
      </c>
      <c r="L90" s="59" t="s">
        <v>574</v>
      </c>
    </row>
    <row r="91" spans="1:12" s="27" customFormat="1" ht="45">
      <c r="A91" s="69" t="s">
        <v>820</v>
      </c>
      <c r="B91" s="59"/>
      <c r="C91" s="59"/>
      <c r="D91" s="488">
        <v>1000</v>
      </c>
      <c r="E91" s="59"/>
      <c r="F91" s="59"/>
      <c r="G91" s="59"/>
      <c r="H91" s="59"/>
      <c r="I91" s="59"/>
      <c r="J91" s="59"/>
      <c r="K91" s="162" t="s">
        <v>821</v>
      </c>
      <c r="L91" s="59" t="s">
        <v>574</v>
      </c>
    </row>
    <row r="92" spans="1:12" s="27" customFormat="1" ht="30">
      <c r="A92" s="69" t="s">
        <v>824</v>
      </c>
      <c r="B92" s="59"/>
      <c r="C92" s="59"/>
      <c r="D92" s="488">
        <v>800</v>
      </c>
      <c r="E92" s="59"/>
      <c r="F92" s="59"/>
      <c r="G92" s="59"/>
      <c r="H92" s="59"/>
      <c r="I92" s="59"/>
      <c r="J92" s="59"/>
      <c r="K92" s="147" t="s">
        <v>825</v>
      </c>
      <c r="L92" s="59" t="s">
        <v>574</v>
      </c>
    </row>
    <row r="93" spans="1:12" s="27" customFormat="1" ht="15.75">
      <c r="A93" s="493" t="s">
        <v>836</v>
      </c>
      <c r="B93" s="510"/>
      <c r="C93" s="510"/>
      <c r="D93" s="488">
        <v>25115</v>
      </c>
      <c r="E93" s="59"/>
      <c r="F93" s="59"/>
      <c r="G93" s="59"/>
      <c r="H93" s="59"/>
      <c r="I93" s="59"/>
      <c r="J93" s="59"/>
      <c r="K93" s="162" t="s">
        <v>432</v>
      </c>
      <c r="L93" s="59" t="s">
        <v>574</v>
      </c>
    </row>
    <row r="94" spans="1:4" s="27" customFormat="1" ht="15">
      <c r="A94" s="26"/>
      <c r="C94" s="27" t="s">
        <v>314</v>
      </c>
      <c r="D94" s="17">
        <f>SUM(D76:D93)</f>
        <v>1699017</v>
      </c>
    </row>
    <row r="95" spans="1:4" s="27" customFormat="1" ht="15">
      <c r="A95" s="26"/>
      <c r="D95" s="17"/>
    </row>
    <row r="96" spans="1:6" s="27" customFormat="1" ht="34.5" customHeight="1">
      <c r="A96" s="586" t="s">
        <v>435</v>
      </c>
      <c r="B96" s="586"/>
      <c r="C96" s="586"/>
      <c r="D96" s="586"/>
      <c r="E96" s="586"/>
      <c r="F96" s="586"/>
    </row>
    <row r="97" spans="1:6" s="27" customFormat="1" ht="18.75">
      <c r="A97" s="121"/>
      <c r="B97" s="121"/>
      <c r="C97" s="121"/>
      <c r="D97" s="121"/>
      <c r="E97" s="121"/>
      <c r="F97" s="121"/>
    </row>
    <row r="98" spans="1:6" s="27" customFormat="1" ht="15.75">
      <c r="A98" s="210"/>
      <c r="B98" s="114"/>
      <c r="C98" s="114"/>
      <c r="D98" s="115" t="s">
        <v>334</v>
      </c>
      <c r="E98" s="115"/>
      <c r="F98" s="115"/>
    </row>
    <row r="99" spans="1:12" s="27" customFormat="1" ht="15.75">
      <c r="A99" s="57" t="s">
        <v>956</v>
      </c>
      <c r="B99" s="478"/>
      <c r="C99" s="478"/>
      <c r="D99" s="484">
        <v>70431</v>
      </c>
      <c r="E99" s="494"/>
      <c r="F99" s="494"/>
      <c r="G99" s="59"/>
      <c r="H99" s="59"/>
      <c r="I99" s="59"/>
      <c r="J99" s="59"/>
      <c r="K99" s="479" t="s">
        <v>572</v>
      </c>
      <c r="L99" s="59" t="s">
        <v>573</v>
      </c>
    </row>
    <row r="100" spans="1:12" s="27" customFormat="1" ht="15.75">
      <c r="A100" s="66" t="s">
        <v>213</v>
      </c>
      <c r="B100" s="495"/>
      <c r="C100" s="495"/>
      <c r="D100" s="482">
        <f>D99</f>
        <v>70431</v>
      </c>
      <c r="E100" s="482"/>
      <c r="F100" s="494"/>
      <c r="G100" s="59"/>
      <c r="H100" s="59"/>
      <c r="I100" s="59"/>
      <c r="J100" s="59"/>
      <c r="K100" s="59"/>
      <c r="L100" s="59"/>
    </row>
    <row r="101" spans="1:7" s="27" customFormat="1" ht="18.75">
      <c r="A101" s="586" t="s">
        <v>450</v>
      </c>
      <c r="B101" s="586"/>
      <c r="C101" s="586"/>
      <c r="D101" s="586"/>
      <c r="E101" s="586"/>
      <c r="F101" s="586"/>
      <c r="G101" s="586"/>
    </row>
    <row r="102" spans="1:7" s="27" customFormat="1" ht="18.75">
      <c r="A102" s="121"/>
      <c r="B102" s="121"/>
      <c r="C102" s="121"/>
      <c r="D102" s="240" t="s">
        <v>334</v>
      </c>
      <c r="E102" s="121"/>
      <c r="F102" s="121"/>
      <c r="G102" s="121"/>
    </row>
    <row r="103" spans="1:12" s="27" customFormat="1" ht="45.75">
      <c r="A103" s="218" t="s">
        <v>942</v>
      </c>
      <c r="B103" s="492"/>
      <c r="C103" s="492"/>
      <c r="D103" s="496">
        <v>1000</v>
      </c>
      <c r="E103" s="492"/>
      <c r="F103" s="492"/>
      <c r="G103" s="492"/>
      <c r="H103" s="59"/>
      <c r="I103" s="59">
        <v>21191</v>
      </c>
      <c r="J103" s="59"/>
      <c r="K103" s="74" t="s">
        <v>943</v>
      </c>
      <c r="L103" s="59" t="s">
        <v>574</v>
      </c>
    </row>
    <row r="104" spans="1:12" s="27" customFormat="1" ht="60">
      <c r="A104" s="493" t="s">
        <v>590</v>
      </c>
      <c r="B104" s="59"/>
      <c r="C104" s="59"/>
      <c r="D104" s="497">
        <v>2776</v>
      </c>
      <c r="E104" s="59"/>
      <c r="F104" s="59"/>
      <c r="G104" s="59"/>
      <c r="H104" s="59"/>
      <c r="I104" s="59">
        <v>21191</v>
      </c>
      <c r="J104" s="59"/>
      <c r="K104" s="74" t="s">
        <v>467</v>
      </c>
      <c r="L104" s="59" t="s">
        <v>574</v>
      </c>
    </row>
    <row r="105" spans="1:7" s="27" customFormat="1" ht="18.75">
      <c r="A105" s="121"/>
      <c r="B105" s="121"/>
      <c r="C105" s="121"/>
      <c r="D105" s="241">
        <f>SUM(D103:D104)</f>
        <v>3776</v>
      </c>
      <c r="E105" s="121"/>
      <c r="F105" s="121"/>
      <c r="G105" s="121"/>
    </row>
    <row r="106" spans="1:7" s="27" customFormat="1" ht="18.75">
      <c r="A106" s="121"/>
      <c r="B106" s="121"/>
      <c r="C106" s="121"/>
      <c r="D106" s="241"/>
      <c r="E106" s="121"/>
      <c r="F106" s="121"/>
      <c r="G106" s="121"/>
    </row>
    <row r="107" spans="1:7" s="27" customFormat="1" ht="18.75">
      <c r="A107" s="586" t="s">
        <v>584</v>
      </c>
      <c r="B107" s="586"/>
      <c r="C107" s="586"/>
      <c r="D107" s="586"/>
      <c r="E107" s="586"/>
      <c r="F107" s="586"/>
      <c r="G107" s="121"/>
    </row>
    <row r="108" spans="1:7" s="27" customFormat="1" ht="18.75">
      <c r="A108" s="121"/>
      <c r="B108" s="121"/>
      <c r="C108" s="121"/>
      <c r="D108" s="240" t="s">
        <v>334</v>
      </c>
      <c r="E108" s="121"/>
      <c r="F108" s="121"/>
      <c r="G108" s="121"/>
    </row>
    <row r="109" spans="1:12" s="27" customFormat="1" ht="18.75">
      <c r="A109" s="66" t="s">
        <v>891</v>
      </c>
      <c r="B109" s="500"/>
      <c r="C109" s="500"/>
      <c r="D109" s="501">
        <v>-14000</v>
      </c>
      <c r="E109" s="492"/>
      <c r="F109" s="492"/>
      <c r="G109" s="492"/>
      <c r="H109" s="59"/>
      <c r="I109" s="59">
        <v>213991</v>
      </c>
      <c r="J109" s="59"/>
      <c r="K109" s="74" t="s">
        <v>572</v>
      </c>
      <c r="L109" s="59" t="s">
        <v>574</v>
      </c>
    </row>
    <row r="110" spans="1:12" s="27" customFormat="1" ht="18.75">
      <c r="A110" s="492"/>
      <c r="B110" s="492"/>
      <c r="C110" s="492"/>
      <c r="D110" s="499">
        <f>D109</f>
        <v>-14000</v>
      </c>
      <c r="E110" s="492"/>
      <c r="F110" s="492"/>
      <c r="G110" s="492"/>
      <c r="H110" s="59"/>
      <c r="I110" s="59"/>
      <c r="J110" s="59"/>
      <c r="K110" s="59"/>
      <c r="L110" s="59"/>
    </row>
    <row r="111" spans="1:12" s="27" customFormat="1" ht="18.75">
      <c r="A111" s="554"/>
      <c r="B111" s="554"/>
      <c r="C111" s="554"/>
      <c r="D111" s="555"/>
      <c r="E111" s="554"/>
      <c r="F111" s="554"/>
      <c r="G111" s="554"/>
      <c r="H111" s="556"/>
      <c r="I111" s="556"/>
      <c r="J111" s="556"/>
      <c r="K111" s="556"/>
      <c r="L111" s="556"/>
    </row>
    <row r="112" spans="1:5" ht="18" customHeight="1">
      <c r="A112" s="27" t="s">
        <v>355</v>
      </c>
      <c r="B112" s="27"/>
      <c r="C112" s="27"/>
      <c r="D112" s="13"/>
      <c r="E112" s="27" t="s">
        <v>36</v>
      </c>
    </row>
    <row r="113" spans="1:5" ht="15">
      <c r="A113" s="27"/>
      <c r="B113" s="27"/>
      <c r="C113" s="27"/>
      <c r="D113" s="13"/>
      <c r="E113" s="27"/>
    </row>
    <row r="117" ht="18" customHeight="1"/>
  </sheetData>
  <sheetProtection/>
  <mergeCells count="8">
    <mergeCell ref="A107:F107"/>
    <mergeCell ref="A101:G101"/>
    <mergeCell ref="A74:G74"/>
    <mergeCell ref="A2:F2"/>
    <mergeCell ref="A53:G53"/>
    <mergeCell ref="A40:G40"/>
    <mergeCell ref="A96:F96"/>
    <mergeCell ref="A48:F48"/>
  </mergeCells>
  <printOptions/>
  <pageMargins left="0.7480314960629921" right="0.15748031496062992" top="0.4330708661417323" bottom="0.2755905511811024" header="0.5511811023622047" footer="0.275590551181102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X423"/>
  <sheetViews>
    <sheetView zoomScalePageLayoutView="0" workbookViewId="0" topLeftCell="A1">
      <selection activeCell="G401" sqref="G401"/>
    </sheetView>
  </sheetViews>
  <sheetFormatPr defaultColWidth="9.140625" defaultRowHeight="12.75"/>
  <cols>
    <col min="1" max="1" width="27.421875" style="27" customWidth="1"/>
    <col min="2" max="2" width="12.00390625" style="147" customWidth="1"/>
    <col min="3" max="3" width="33.7109375" style="27" customWidth="1"/>
    <col min="4" max="4" width="13.28125" style="13" customWidth="1"/>
    <col min="5" max="5" width="64.421875" style="27" customWidth="1"/>
    <col min="6" max="16384" width="9.140625" style="27" customWidth="1"/>
  </cols>
  <sheetData>
    <row r="1" ht="15">
      <c r="E1" s="27" t="s">
        <v>37</v>
      </c>
    </row>
    <row r="2" spans="1:5" ht="18.75">
      <c r="A2" s="589" t="s">
        <v>689</v>
      </c>
      <c r="B2" s="589"/>
      <c r="C2" s="589"/>
      <c r="D2" s="589"/>
      <c r="E2" s="589"/>
    </row>
    <row r="3" spans="1:5" ht="31.5">
      <c r="A3" s="148" t="s">
        <v>2</v>
      </c>
      <c r="B3" s="149" t="s">
        <v>6</v>
      </c>
      <c r="C3" s="148" t="s">
        <v>3</v>
      </c>
      <c r="D3" s="150" t="s">
        <v>4</v>
      </c>
      <c r="E3" s="148" t="s">
        <v>5</v>
      </c>
    </row>
    <row r="4" spans="1:5" ht="15.75">
      <c r="A4" s="148"/>
      <c r="B4" s="151"/>
      <c r="C4" s="148"/>
      <c r="D4" s="150" t="s">
        <v>334</v>
      </c>
      <c r="E4" s="58"/>
    </row>
    <row r="5" spans="1:5" ht="15">
      <c r="A5" s="152" t="s">
        <v>140</v>
      </c>
      <c r="B5" s="153" t="s">
        <v>69</v>
      </c>
      <c r="C5" s="67"/>
      <c r="D5" s="154">
        <f>SUM(D6,D12,D15,D17,D19)</f>
        <v>-384324</v>
      </c>
      <c r="E5" s="59" t="s">
        <v>439</v>
      </c>
    </row>
    <row r="6" spans="1:5" ht="15">
      <c r="A6" s="174" t="s">
        <v>343</v>
      </c>
      <c r="B6" s="75" t="s">
        <v>236</v>
      </c>
      <c r="C6" s="67"/>
      <c r="D6" s="126">
        <f>SUM(D7:D11)</f>
        <v>11513</v>
      </c>
      <c r="E6" s="66"/>
    </row>
    <row r="7" spans="1:5" ht="60">
      <c r="A7" s="174"/>
      <c r="B7" s="74" t="s">
        <v>18</v>
      </c>
      <c r="C7" s="59" t="s">
        <v>211</v>
      </c>
      <c r="D7" s="219">
        <f>-4986+14264</f>
        <v>9278</v>
      </c>
      <c r="E7" s="66" t="s">
        <v>972</v>
      </c>
    </row>
    <row r="8" spans="1:5" ht="15">
      <c r="A8" s="174"/>
      <c r="B8" s="74" t="s">
        <v>19</v>
      </c>
      <c r="C8" s="59" t="s">
        <v>7</v>
      </c>
      <c r="D8" s="219">
        <f>-1201+3436</f>
        <v>2235</v>
      </c>
      <c r="E8" s="66"/>
    </row>
    <row r="9" spans="1:5" ht="15">
      <c r="A9" s="174"/>
      <c r="B9" s="74" t="s">
        <v>202</v>
      </c>
      <c r="C9" s="145" t="s">
        <v>192</v>
      </c>
      <c r="D9" s="219">
        <v>-2265</v>
      </c>
      <c r="E9" s="66" t="s">
        <v>717</v>
      </c>
    </row>
    <row r="10" spans="1:5" ht="15">
      <c r="A10" s="174"/>
      <c r="B10" s="74" t="s">
        <v>456</v>
      </c>
      <c r="C10" s="59" t="s">
        <v>196</v>
      </c>
      <c r="D10" s="146">
        <f>700+140</f>
        <v>840</v>
      </c>
      <c r="E10" s="66" t="s">
        <v>698</v>
      </c>
    </row>
    <row r="11" spans="1:5" ht="45">
      <c r="A11" s="174"/>
      <c r="B11" s="74" t="s">
        <v>705</v>
      </c>
      <c r="C11" s="245" t="s">
        <v>378</v>
      </c>
      <c r="D11" s="146">
        <v>1425</v>
      </c>
      <c r="E11" s="66" t="s">
        <v>712</v>
      </c>
    </row>
    <row r="12" spans="1:5" ht="30">
      <c r="A12" s="143" t="s">
        <v>887</v>
      </c>
      <c r="B12" s="74" t="s">
        <v>517</v>
      </c>
      <c r="C12" s="245"/>
      <c r="D12" s="126">
        <f>SUM(D13:D14)</f>
        <v>3160</v>
      </c>
      <c r="E12" s="66" t="s">
        <v>889</v>
      </c>
    </row>
    <row r="13" spans="1:5" ht="15">
      <c r="A13" s="143"/>
      <c r="B13" s="74" t="s">
        <v>18</v>
      </c>
      <c r="C13" s="59" t="s">
        <v>211</v>
      </c>
      <c r="D13" s="146">
        <v>2554</v>
      </c>
      <c r="E13" s="66"/>
    </row>
    <row r="14" spans="1:5" ht="15">
      <c r="A14" s="174"/>
      <c r="B14" s="74" t="s">
        <v>19</v>
      </c>
      <c r="C14" s="59" t="s">
        <v>7</v>
      </c>
      <c r="D14" s="146">
        <v>606</v>
      </c>
      <c r="E14" s="66"/>
    </row>
    <row r="15" spans="1:5" ht="45">
      <c r="A15" s="143" t="s">
        <v>239</v>
      </c>
      <c r="B15" s="75" t="s">
        <v>487</v>
      </c>
      <c r="C15" s="66"/>
      <c r="D15" s="156">
        <f>SUM(D16:D16)</f>
        <v>86657</v>
      </c>
      <c r="E15" s="66"/>
    </row>
    <row r="16" spans="1:5" ht="60">
      <c r="A16" s="174"/>
      <c r="B16" s="74" t="s">
        <v>461</v>
      </c>
      <c r="C16" s="66" t="s">
        <v>484</v>
      </c>
      <c r="D16" s="215">
        <f>75+20229+66353</f>
        <v>86657</v>
      </c>
      <c r="E16" s="66" t="s">
        <v>948</v>
      </c>
    </row>
    <row r="17" spans="1:5" ht="30">
      <c r="A17" s="474" t="s">
        <v>77</v>
      </c>
      <c r="B17" s="75" t="s">
        <v>415</v>
      </c>
      <c r="C17" s="66"/>
      <c r="D17" s="221">
        <f>D18</f>
        <v>444</v>
      </c>
      <c r="E17" s="66"/>
    </row>
    <row r="18" spans="1:5" ht="30">
      <c r="A18" s="174"/>
      <c r="B18" s="74" t="s">
        <v>461</v>
      </c>
      <c r="C18" s="245" t="s">
        <v>313</v>
      </c>
      <c r="D18" s="215">
        <f>363+81</f>
        <v>444</v>
      </c>
      <c r="E18" s="66" t="s">
        <v>949</v>
      </c>
    </row>
    <row r="19" spans="1:5" ht="30">
      <c r="A19" s="512" t="s">
        <v>240</v>
      </c>
      <c r="B19" s="211" t="s">
        <v>357</v>
      </c>
      <c r="C19" s="66"/>
      <c r="D19" s="219">
        <v>-486098</v>
      </c>
      <c r="E19" s="66" t="s">
        <v>915</v>
      </c>
    </row>
    <row r="20" spans="1:5" ht="29.25">
      <c r="A20" s="67" t="s">
        <v>80</v>
      </c>
      <c r="B20" s="153" t="s">
        <v>79</v>
      </c>
      <c r="C20" s="67"/>
      <c r="D20" s="157">
        <f>D21+D24</f>
        <v>211447</v>
      </c>
      <c r="E20" s="66"/>
    </row>
    <row r="21" spans="1:5" ht="15">
      <c r="A21" s="143" t="s">
        <v>33</v>
      </c>
      <c r="B21" s="75" t="s">
        <v>965</v>
      </c>
      <c r="C21" s="67"/>
      <c r="D21" s="127">
        <f>SUM(D22:D23)</f>
        <v>0</v>
      </c>
      <c r="E21" s="168" t="s">
        <v>21</v>
      </c>
    </row>
    <row r="22" spans="1:5" ht="15">
      <c r="A22" s="67"/>
      <c r="B22" s="74" t="s">
        <v>205</v>
      </c>
      <c r="C22" s="59" t="s">
        <v>327</v>
      </c>
      <c r="D22" s="33">
        <v>-605</v>
      </c>
      <c r="E22" s="66"/>
    </row>
    <row r="23" spans="1:5" ht="15">
      <c r="A23" s="67"/>
      <c r="B23" s="74" t="s">
        <v>204</v>
      </c>
      <c r="C23" s="59" t="s">
        <v>198</v>
      </c>
      <c r="D23" s="33">
        <v>605</v>
      </c>
      <c r="E23" s="66"/>
    </row>
    <row r="24" spans="1:5" ht="75">
      <c r="A24" s="573" t="s">
        <v>916</v>
      </c>
      <c r="B24" s="75" t="s">
        <v>418</v>
      </c>
      <c r="C24" s="59"/>
      <c r="D24" s="232">
        <f>SUM(D25:D30)</f>
        <v>211447</v>
      </c>
      <c r="E24" s="66" t="s">
        <v>973</v>
      </c>
    </row>
    <row r="25" spans="1:5" ht="15">
      <c r="A25" s="573"/>
      <c r="B25" s="74" t="s">
        <v>18</v>
      </c>
      <c r="C25" s="59" t="s">
        <v>211</v>
      </c>
      <c r="D25" s="219">
        <v>42158</v>
      </c>
      <c r="E25" s="66"/>
    </row>
    <row r="26" spans="1:5" ht="15">
      <c r="A26" s="573"/>
      <c r="B26" s="74" t="s">
        <v>19</v>
      </c>
      <c r="C26" s="59" t="s">
        <v>7</v>
      </c>
      <c r="D26" s="219">
        <v>10156</v>
      </c>
      <c r="E26" s="66"/>
    </row>
    <row r="27" spans="1:5" ht="15">
      <c r="A27" s="67"/>
      <c r="B27" s="74" t="s">
        <v>203</v>
      </c>
      <c r="C27" s="66" t="s">
        <v>193</v>
      </c>
      <c r="D27" s="33">
        <v>38200</v>
      </c>
      <c r="E27" s="66"/>
    </row>
    <row r="28" spans="1:5" ht="15">
      <c r="A28" s="67"/>
      <c r="B28" s="74" t="s">
        <v>205</v>
      </c>
      <c r="C28" s="59" t="s">
        <v>327</v>
      </c>
      <c r="D28" s="33">
        <f>115451-12683</f>
        <v>102768</v>
      </c>
      <c r="E28" s="66"/>
    </row>
    <row r="29" spans="1:5" ht="15">
      <c r="A29" s="67"/>
      <c r="B29" s="74" t="s">
        <v>204</v>
      </c>
      <c r="C29" s="59" t="s">
        <v>198</v>
      </c>
      <c r="D29" s="33">
        <v>18165</v>
      </c>
      <c r="E29" s="66"/>
    </row>
    <row r="30" spans="1:5" ht="15">
      <c r="A30" s="67"/>
      <c r="B30" s="74" t="s">
        <v>345</v>
      </c>
      <c r="C30" s="66" t="s">
        <v>199</v>
      </c>
      <c r="D30" s="33"/>
      <c r="E30" s="66"/>
    </row>
    <row r="31" spans="1:5" ht="15">
      <c r="A31" s="67" t="s">
        <v>82</v>
      </c>
      <c r="B31" s="153" t="s">
        <v>9</v>
      </c>
      <c r="C31" s="67"/>
      <c r="D31" s="186">
        <f>SUM(D32,D34,D38,D40,D61,D45,D47,D50,D53,D55,D57,D59,D66,D68,D70,D72,D74,D76,D78,D80,D82)</f>
        <v>1973969</v>
      </c>
      <c r="E31" s="66"/>
    </row>
    <row r="32" spans="1:5" ht="30">
      <c r="A32" s="248" t="s">
        <v>244</v>
      </c>
      <c r="B32" s="75" t="s">
        <v>243</v>
      </c>
      <c r="C32" s="67"/>
      <c r="D32" s="127">
        <f>SUM(D33:D33)</f>
        <v>-645</v>
      </c>
      <c r="E32" s="66" t="s">
        <v>725</v>
      </c>
    </row>
    <row r="33" spans="1:5" ht="15">
      <c r="A33" s="67"/>
      <c r="B33" s="130" t="s">
        <v>328</v>
      </c>
      <c r="C33" s="155" t="s">
        <v>330</v>
      </c>
      <c r="D33" s="214">
        <v>-645</v>
      </c>
      <c r="E33" s="66"/>
    </row>
    <row r="34" spans="1:5" ht="60">
      <c r="A34" s="540" t="s">
        <v>473</v>
      </c>
      <c r="B34" s="75" t="s">
        <v>419</v>
      </c>
      <c r="C34" s="59"/>
      <c r="D34" s="232">
        <f>SUM(D35:D37)</f>
        <v>0</v>
      </c>
      <c r="E34" s="168" t="s">
        <v>21</v>
      </c>
    </row>
    <row r="35" spans="1:5" ht="15">
      <c r="A35" s="67"/>
      <c r="B35" s="74" t="s">
        <v>203</v>
      </c>
      <c r="C35" s="66" t="s">
        <v>193</v>
      </c>
      <c r="D35" s="214">
        <v>-4300</v>
      </c>
      <c r="E35" s="209" t="s">
        <v>21</v>
      </c>
    </row>
    <row r="36" spans="1:5" ht="15">
      <c r="A36" s="67"/>
      <c r="B36" s="74" t="s">
        <v>205</v>
      </c>
      <c r="C36" s="59" t="s">
        <v>327</v>
      </c>
      <c r="D36" s="214">
        <v>300</v>
      </c>
      <c r="E36" s="574"/>
    </row>
    <row r="37" spans="1:5" ht="15">
      <c r="A37" s="67"/>
      <c r="B37" s="74" t="s">
        <v>204</v>
      </c>
      <c r="C37" s="66" t="s">
        <v>229</v>
      </c>
      <c r="D37" s="214">
        <v>4000</v>
      </c>
      <c r="E37" s="66"/>
    </row>
    <row r="38" spans="1:5" s="170" customFormat="1" ht="42" customHeight="1">
      <c r="A38" s="216" t="s">
        <v>903</v>
      </c>
      <c r="B38" s="171" t="s">
        <v>366</v>
      </c>
      <c r="C38" s="168"/>
      <c r="D38" s="133">
        <f>SUM(D39:D39)</f>
        <v>5983</v>
      </c>
      <c r="E38" s="209" t="s">
        <v>796</v>
      </c>
    </row>
    <row r="39" spans="1:5" ht="15">
      <c r="A39" s="67"/>
      <c r="B39" s="74" t="s">
        <v>204</v>
      </c>
      <c r="C39" s="59" t="s">
        <v>198</v>
      </c>
      <c r="D39" s="33">
        <v>5983</v>
      </c>
      <c r="E39" s="66"/>
    </row>
    <row r="40" spans="1:5" ht="30">
      <c r="A40" s="512" t="s">
        <v>585</v>
      </c>
      <c r="B40" s="75" t="s">
        <v>522</v>
      </c>
      <c r="C40" s="66"/>
      <c r="D40" s="127">
        <f>SUM(D41:D44)</f>
        <v>0</v>
      </c>
      <c r="E40" s="168" t="s">
        <v>21</v>
      </c>
    </row>
    <row r="41" spans="1:5" ht="15" customHeight="1">
      <c r="A41" s="512"/>
      <c r="B41" s="74" t="s">
        <v>18</v>
      </c>
      <c r="C41" s="59" t="s">
        <v>211</v>
      </c>
      <c r="D41" s="176">
        <v>4000</v>
      </c>
      <c r="E41" s="168"/>
    </row>
    <row r="42" spans="1:5" ht="15">
      <c r="A42" s="512"/>
      <c r="B42" s="74" t="s">
        <v>19</v>
      </c>
      <c r="C42" s="59" t="s">
        <v>7</v>
      </c>
      <c r="D42" s="176">
        <v>964</v>
      </c>
      <c r="E42" s="168"/>
    </row>
    <row r="43" spans="1:5" ht="15">
      <c r="A43" s="67"/>
      <c r="B43" s="74" t="s">
        <v>203</v>
      </c>
      <c r="C43" s="66" t="s">
        <v>193</v>
      </c>
      <c r="D43" s="33">
        <v>-4964</v>
      </c>
      <c r="E43" s="66"/>
    </row>
    <row r="44" spans="1:5" ht="15">
      <c r="A44" s="67"/>
      <c r="B44" s="74" t="s">
        <v>204</v>
      </c>
      <c r="C44" s="155" t="s">
        <v>229</v>
      </c>
      <c r="D44" s="33">
        <v>0</v>
      </c>
      <c r="E44" s="66"/>
    </row>
    <row r="45" spans="1:5" ht="105">
      <c r="A45" s="216" t="s">
        <v>524</v>
      </c>
      <c r="B45" s="75" t="s">
        <v>368</v>
      </c>
      <c r="C45" s="155"/>
      <c r="D45" s="127">
        <f>D46</f>
        <v>260000</v>
      </c>
      <c r="E45" s="209" t="s">
        <v>797</v>
      </c>
    </row>
    <row r="46" spans="1:5" ht="15">
      <c r="A46" s="542"/>
      <c r="B46" s="74" t="s">
        <v>204</v>
      </c>
      <c r="C46" s="155" t="s">
        <v>229</v>
      </c>
      <c r="D46" s="33">
        <v>260000</v>
      </c>
      <c r="E46" s="66"/>
    </row>
    <row r="47" spans="1:5" ht="15">
      <c r="A47" s="216" t="s">
        <v>174</v>
      </c>
      <c r="B47" s="75" t="s">
        <v>421</v>
      </c>
      <c r="C47" s="155"/>
      <c r="D47" s="127">
        <f>SUM(D48:D49)</f>
        <v>0</v>
      </c>
      <c r="E47" s="168" t="s">
        <v>21</v>
      </c>
    </row>
    <row r="48" spans="1:5" ht="15">
      <c r="A48" s="542"/>
      <c r="B48" s="74" t="s">
        <v>203</v>
      </c>
      <c r="C48" s="66" t="s">
        <v>193</v>
      </c>
      <c r="D48" s="33">
        <v>-2105</v>
      </c>
      <c r="E48" s="66"/>
    </row>
    <row r="49" spans="1:5" ht="15">
      <c r="A49" s="542"/>
      <c r="B49" s="74" t="s">
        <v>204</v>
      </c>
      <c r="C49" s="59" t="s">
        <v>198</v>
      </c>
      <c r="D49" s="33">
        <v>2105</v>
      </c>
      <c r="E49" s="66" t="s">
        <v>917</v>
      </c>
    </row>
    <row r="50" spans="1:5" ht="15">
      <c r="A50" s="165" t="s">
        <v>341</v>
      </c>
      <c r="B50" s="75" t="s">
        <v>454</v>
      </c>
      <c r="C50" s="59"/>
      <c r="D50" s="133">
        <f>SUM(D51:D52)</f>
        <v>-6568</v>
      </c>
      <c r="E50" s="209"/>
    </row>
    <row r="51" spans="1:5" ht="45">
      <c r="A51" s="165"/>
      <c r="B51" s="74" t="s">
        <v>203</v>
      </c>
      <c r="C51" s="66" t="s">
        <v>193</v>
      </c>
      <c r="D51" s="164">
        <f>-19088+5070</f>
        <v>-14018</v>
      </c>
      <c r="E51" s="66" t="s">
        <v>913</v>
      </c>
    </row>
    <row r="52" spans="1:5" ht="60">
      <c r="A52" s="165"/>
      <c r="B52" s="74" t="s">
        <v>204</v>
      </c>
      <c r="C52" s="155" t="s">
        <v>229</v>
      </c>
      <c r="D52" s="164">
        <f>4400+509+2541</f>
        <v>7450</v>
      </c>
      <c r="E52" s="475" t="s">
        <v>918</v>
      </c>
    </row>
    <row r="53" spans="1:5" ht="45">
      <c r="A53" s="143" t="s">
        <v>900</v>
      </c>
      <c r="B53" s="75" t="s">
        <v>636</v>
      </c>
      <c r="C53" s="59"/>
      <c r="D53" s="232">
        <f>SUM(D54:D54)</f>
        <v>11700</v>
      </c>
      <c r="E53" s="66"/>
    </row>
    <row r="54" spans="1:5" ht="15">
      <c r="A54" s="143"/>
      <c r="B54" s="74" t="s">
        <v>204</v>
      </c>
      <c r="C54" s="155" t="s">
        <v>229</v>
      </c>
      <c r="D54" s="214">
        <v>11700</v>
      </c>
      <c r="E54" s="66" t="s">
        <v>859</v>
      </c>
    </row>
    <row r="55" spans="1:5" ht="15">
      <c r="A55" s="512" t="s">
        <v>843</v>
      </c>
      <c r="B55" s="75" t="s">
        <v>842</v>
      </c>
      <c r="C55" s="59"/>
      <c r="D55" s="232">
        <f>D56</f>
        <v>162298</v>
      </c>
      <c r="E55" s="66" t="s">
        <v>867</v>
      </c>
    </row>
    <row r="56" spans="1:5" ht="30">
      <c r="A56" s="143"/>
      <c r="B56" s="74" t="s">
        <v>204</v>
      </c>
      <c r="C56" s="155" t="s">
        <v>229</v>
      </c>
      <c r="D56" s="214">
        <v>162298</v>
      </c>
      <c r="E56" s="66" t="s">
        <v>868</v>
      </c>
    </row>
    <row r="57" spans="1:5" ht="45">
      <c r="A57" s="474" t="s">
        <v>637</v>
      </c>
      <c r="B57" s="75" t="s">
        <v>369</v>
      </c>
      <c r="C57" s="59"/>
      <c r="D57" s="232">
        <f>SUM(D58:D58)</f>
        <v>5798</v>
      </c>
      <c r="E57" s="66" t="s">
        <v>840</v>
      </c>
    </row>
    <row r="58" spans="1:5" ht="15">
      <c r="A58" s="143"/>
      <c r="B58" s="74" t="s">
        <v>204</v>
      </c>
      <c r="C58" s="155" t="s">
        <v>229</v>
      </c>
      <c r="D58" s="214">
        <v>5798</v>
      </c>
      <c r="E58" s="66"/>
    </row>
    <row r="59" spans="1:5" ht="15.75">
      <c r="A59" s="526" t="s">
        <v>901</v>
      </c>
      <c r="B59" s="75" t="s">
        <v>525</v>
      </c>
      <c r="C59" s="155"/>
      <c r="D59" s="232">
        <f>D60</f>
        <v>152590</v>
      </c>
      <c r="E59" s="66" t="s">
        <v>919</v>
      </c>
    </row>
    <row r="60" spans="1:5" ht="15">
      <c r="A60" s="143"/>
      <c r="B60" s="74" t="s">
        <v>204</v>
      </c>
      <c r="C60" s="155" t="s">
        <v>229</v>
      </c>
      <c r="D60" s="164">
        <v>152590</v>
      </c>
      <c r="E60" s="66" t="s">
        <v>879</v>
      </c>
    </row>
    <row r="61" spans="1:5" ht="90">
      <c r="A61" s="512" t="s">
        <v>920</v>
      </c>
      <c r="B61" s="75" t="s">
        <v>638</v>
      </c>
      <c r="C61" s="59"/>
      <c r="D61" s="232">
        <f>SUM(D62:D65)</f>
        <v>-90645</v>
      </c>
      <c r="E61" s="209" t="s">
        <v>863</v>
      </c>
    </row>
    <row r="62" spans="1:5" ht="15">
      <c r="A62" s="143"/>
      <c r="B62" s="74" t="s">
        <v>18</v>
      </c>
      <c r="C62" s="59" t="s">
        <v>211</v>
      </c>
      <c r="D62" s="214">
        <v>14230</v>
      </c>
      <c r="E62" s="66"/>
    </row>
    <row r="63" spans="1:5" ht="15">
      <c r="A63" s="143"/>
      <c r="B63" s="74" t="s">
        <v>19</v>
      </c>
      <c r="C63" s="59" t="s">
        <v>7</v>
      </c>
      <c r="D63" s="214">
        <v>3428</v>
      </c>
      <c r="E63" s="66"/>
    </row>
    <row r="64" spans="1:5" ht="15">
      <c r="A64" s="143"/>
      <c r="B64" s="74" t="s">
        <v>203</v>
      </c>
      <c r="C64" s="66" t="s">
        <v>193</v>
      </c>
      <c r="D64" s="214">
        <v>581</v>
      </c>
      <c r="E64" s="66"/>
    </row>
    <row r="65" spans="1:5" ht="15">
      <c r="A65" s="143"/>
      <c r="B65" s="74" t="s">
        <v>204</v>
      </c>
      <c r="C65" s="59" t="s">
        <v>198</v>
      </c>
      <c r="D65" s="214">
        <v>-108884</v>
      </c>
      <c r="E65" s="66"/>
    </row>
    <row r="66" spans="1:5" ht="15.75">
      <c r="A66" s="526" t="s">
        <v>902</v>
      </c>
      <c r="B66" s="75" t="s">
        <v>639</v>
      </c>
      <c r="C66" s="59"/>
      <c r="D66" s="232">
        <f>D67</f>
        <v>258907</v>
      </c>
      <c r="E66" s="66" t="s">
        <v>870</v>
      </c>
    </row>
    <row r="67" spans="1:5" ht="30">
      <c r="A67" s="143"/>
      <c r="B67" s="74" t="s">
        <v>204</v>
      </c>
      <c r="C67" s="155" t="s">
        <v>229</v>
      </c>
      <c r="D67" s="214">
        <v>258907</v>
      </c>
      <c r="E67" s="168" t="s">
        <v>862</v>
      </c>
    </row>
    <row r="68" spans="1:5" ht="60">
      <c r="A68" s="143" t="s">
        <v>727</v>
      </c>
      <c r="B68" s="75" t="s">
        <v>726</v>
      </c>
      <c r="C68" s="59"/>
      <c r="D68" s="232">
        <f>D69</f>
        <v>114446</v>
      </c>
      <c r="E68" s="66" t="s">
        <v>870</v>
      </c>
    </row>
    <row r="69" spans="1:5" ht="30">
      <c r="A69" s="143"/>
      <c r="B69" s="74" t="s">
        <v>204</v>
      </c>
      <c r="C69" s="155" t="s">
        <v>229</v>
      </c>
      <c r="D69" s="214">
        <f>12099+102347</f>
        <v>114446</v>
      </c>
      <c r="E69" s="66" t="s">
        <v>871</v>
      </c>
    </row>
    <row r="70" spans="1:5" ht="15">
      <c r="A70" s="512" t="s">
        <v>845</v>
      </c>
      <c r="B70" s="75" t="s">
        <v>844</v>
      </c>
      <c r="C70" s="155"/>
      <c r="D70" s="232">
        <f>D71</f>
        <v>273708</v>
      </c>
      <c r="E70" s="66" t="s">
        <v>867</v>
      </c>
    </row>
    <row r="71" spans="1:5" ht="30">
      <c r="A71" s="143"/>
      <c r="B71" s="74" t="s">
        <v>204</v>
      </c>
      <c r="C71" s="155" t="s">
        <v>229</v>
      </c>
      <c r="D71" s="214">
        <v>273708</v>
      </c>
      <c r="E71" s="66" t="s">
        <v>866</v>
      </c>
    </row>
    <row r="72" spans="1:5" ht="45">
      <c r="A72" s="143" t="s">
        <v>724</v>
      </c>
      <c r="B72" s="75" t="s">
        <v>723</v>
      </c>
      <c r="C72" s="59"/>
      <c r="D72" s="232">
        <f>SUM(D73:D73)</f>
        <v>23693</v>
      </c>
      <c r="E72" s="66" t="s">
        <v>974</v>
      </c>
    </row>
    <row r="73" spans="1:5" ht="15">
      <c r="A73" s="143"/>
      <c r="B73" s="74" t="s">
        <v>204</v>
      </c>
      <c r="C73" s="155" t="s">
        <v>229</v>
      </c>
      <c r="D73" s="214">
        <f>11000+2456+10237</f>
        <v>23693</v>
      </c>
      <c r="E73" s="66"/>
    </row>
    <row r="74" spans="1:5" ht="15">
      <c r="A74" s="512" t="s">
        <v>849</v>
      </c>
      <c r="B74" s="75" t="s">
        <v>846</v>
      </c>
      <c r="C74" s="155"/>
      <c r="D74" s="232">
        <f>D75</f>
        <v>272505</v>
      </c>
      <c r="E74" s="66" t="s">
        <v>864</v>
      </c>
    </row>
    <row r="75" spans="1:5" ht="30">
      <c r="A75" s="512"/>
      <c r="B75" s="74" t="s">
        <v>204</v>
      </c>
      <c r="C75" s="155" t="s">
        <v>229</v>
      </c>
      <c r="D75" s="214">
        <v>272505</v>
      </c>
      <c r="E75" s="66" t="s">
        <v>865</v>
      </c>
    </row>
    <row r="76" spans="1:5" ht="15">
      <c r="A76" s="512" t="s">
        <v>850</v>
      </c>
      <c r="B76" s="75" t="s">
        <v>847</v>
      </c>
      <c r="C76" s="155"/>
      <c r="D76" s="232">
        <f>D77</f>
        <v>108421</v>
      </c>
      <c r="E76" s="66" t="s">
        <v>864</v>
      </c>
    </row>
    <row r="77" spans="1:5" ht="30">
      <c r="A77" s="512"/>
      <c r="B77" s="74" t="s">
        <v>204</v>
      </c>
      <c r="C77" s="155" t="s">
        <v>229</v>
      </c>
      <c r="D77" s="214">
        <v>108421</v>
      </c>
      <c r="E77" s="66" t="s">
        <v>878</v>
      </c>
    </row>
    <row r="78" spans="1:5" ht="75">
      <c r="A78" s="512" t="s">
        <v>851</v>
      </c>
      <c r="B78" s="75" t="s">
        <v>848</v>
      </c>
      <c r="C78" s="155"/>
      <c r="D78" s="232">
        <f>D79</f>
        <v>323340</v>
      </c>
      <c r="E78" s="66" t="s">
        <v>867</v>
      </c>
    </row>
    <row r="79" spans="1:5" ht="30">
      <c r="A79" s="512"/>
      <c r="B79" s="74" t="s">
        <v>204</v>
      </c>
      <c r="C79" s="155" t="s">
        <v>229</v>
      </c>
      <c r="D79" s="214">
        <v>323340</v>
      </c>
      <c r="E79" s="66" t="s">
        <v>869</v>
      </c>
    </row>
    <row r="80" spans="1:5" ht="15">
      <c r="A80" s="512" t="s">
        <v>853</v>
      </c>
      <c r="B80" s="75" t="s">
        <v>852</v>
      </c>
      <c r="C80" s="155"/>
      <c r="D80" s="232">
        <f>D81</f>
        <v>84429</v>
      </c>
      <c r="E80" s="66" t="s">
        <v>870</v>
      </c>
    </row>
    <row r="81" spans="1:5" ht="15">
      <c r="A81" s="143"/>
      <c r="B81" s="74" t="s">
        <v>204</v>
      </c>
      <c r="C81" s="155" t="s">
        <v>229</v>
      </c>
      <c r="D81" s="214">
        <v>84429</v>
      </c>
      <c r="E81" s="66" t="s">
        <v>872</v>
      </c>
    </row>
    <row r="82" spans="1:5" ht="45">
      <c r="A82" s="131" t="s">
        <v>486</v>
      </c>
      <c r="B82" s="129" t="s">
        <v>495</v>
      </c>
      <c r="C82" s="155"/>
      <c r="D82" s="178">
        <f>SUM(D83:D87)</f>
        <v>14009</v>
      </c>
      <c r="E82" s="168" t="s">
        <v>922</v>
      </c>
    </row>
    <row r="83" spans="1:5" ht="60">
      <c r="A83" s="131"/>
      <c r="B83" s="74" t="s">
        <v>203</v>
      </c>
      <c r="C83" s="66" t="s">
        <v>193</v>
      </c>
      <c r="D83" s="214">
        <f>1657-1950+9850</f>
        <v>9557</v>
      </c>
      <c r="E83" s="509" t="s">
        <v>923</v>
      </c>
    </row>
    <row r="84" spans="1:5" ht="30">
      <c r="A84" s="131"/>
      <c r="B84" s="74" t="s">
        <v>205</v>
      </c>
      <c r="C84" s="59" t="s">
        <v>327</v>
      </c>
      <c r="D84" s="179">
        <v>5000</v>
      </c>
      <c r="E84" s="509" t="s">
        <v>754</v>
      </c>
    </row>
    <row r="85" spans="1:5" ht="30">
      <c r="A85" s="131"/>
      <c r="B85" s="74" t="s">
        <v>328</v>
      </c>
      <c r="C85" s="66" t="s">
        <v>330</v>
      </c>
      <c r="D85" s="179">
        <v>1950</v>
      </c>
      <c r="E85" s="509" t="s">
        <v>753</v>
      </c>
    </row>
    <row r="86" spans="1:5" ht="30">
      <c r="A86" s="131"/>
      <c r="B86" s="74" t="s">
        <v>451</v>
      </c>
      <c r="C86" s="59" t="s">
        <v>152</v>
      </c>
      <c r="D86" s="179">
        <v>11801</v>
      </c>
      <c r="E86" s="509" t="s">
        <v>755</v>
      </c>
    </row>
    <row r="87" spans="1:5" ht="60">
      <c r="A87" s="131"/>
      <c r="B87" s="74" t="s">
        <v>204</v>
      </c>
      <c r="C87" s="59" t="s">
        <v>198</v>
      </c>
      <c r="D87" s="179">
        <f>-16801+2502</f>
        <v>-14299</v>
      </c>
      <c r="E87" s="509" t="s">
        <v>921</v>
      </c>
    </row>
    <row r="88" spans="1:5" ht="15">
      <c r="A88" s="68" t="s">
        <v>93</v>
      </c>
      <c r="B88" s="160" t="s">
        <v>31</v>
      </c>
      <c r="C88" s="68"/>
      <c r="D88" s="157">
        <f>SUM(D89:D97,D99)</f>
        <v>146166</v>
      </c>
      <c r="E88" s="161"/>
    </row>
    <row r="89" spans="1:5" ht="30">
      <c r="A89" s="143" t="s">
        <v>354</v>
      </c>
      <c r="B89" s="162" t="s">
        <v>511</v>
      </c>
      <c r="C89" s="59" t="s">
        <v>507</v>
      </c>
      <c r="D89" s="201"/>
      <c r="E89" s="168"/>
    </row>
    <row r="90" spans="1:5" ht="15">
      <c r="A90" s="143"/>
      <c r="B90" s="162" t="s">
        <v>249</v>
      </c>
      <c r="C90" s="59" t="s">
        <v>505</v>
      </c>
      <c r="D90" s="254">
        <v>34465</v>
      </c>
      <c r="E90" s="66" t="s">
        <v>596</v>
      </c>
    </row>
    <row r="91" spans="1:5" ht="15">
      <c r="A91" s="143"/>
      <c r="B91" s="162" t="s">
        <v>249</v>
      </c>
      <c r="C91" s="59" t="s">
        <v>459</v>
      </c>
      <c r="D91" s="255">
        <v>818</v>
      </c>
      <c r="E91" s="66" t="s">
        <v>460</v>
      </c>
    </row>
    <row r="92" spans="1:5" ht="30">
      <c r="A92" s="143" t="s">
        <v>329</v>
      </c>
      <c r="B92" s="162"/>
      <c r="C92" s="59"/>
      <c r="D92" s="255"/>
      <c r="E92" s="163"/>
    </row>
    <row r="93" spans="1:5" ht="30">
      <c r="A93" s="143"/>
      <c r="B93" s="162" t="s">
        <v>251</v>
      </c>
      <c r="C93" s="59" t="s">
        <v>507</v>
      </c>
      <c r="D93" s="253">
        <v>21642</v>
      </c>
      <c r="E93" s="66" t="s">
        <v>772</v>
      </c>
    </row>
    <row r="94" spans="1:5" ht="15">
      <c r="A94" s="143"/>
      <c r="B94" s="162" t="s">
        <v>251</v>
      </c>
      <c r="C94" s="59" t="s">
        <v>505</v>
      </c>
      <c r="D94" s="255">
        <v>90766</v>
      </c>
      <c r="E94" s="66" t="s">
        <v>596</v>
      </c>
    </row>
    <row r="95" spans="1:5" ht="15">
      <c r="A95" s="143"/>
      <c r="B95" s="162" t="s">
        <v>250</v>
      </c>
      <c r="C95" s="59" t="s">
        <v>459</v>
      </c>
      <c r="D95" s="255">
        <v>3200</v>
      </c>
      <c r="E95" s="66" t="s">
        <v>460</v>
      </c>
    </row>
    <row r="96" spans="1:5" ht="15">
      <c r="A96" s="474" t="s">
        <v>643</v>
      </c>
      <c r="B96" s="217" t="s">
        <v>924</v>
      </c>
      <c r="C96" s="209" t="s">
        <v>229</v>
      </c>
      <c r="D96" s="267">
        <v>-50000</v>
      </c>
      <c r="E96" s="575" t="s">
        <v>914</v>
      </c>
    </row>
    <row r="97" spans="1:5" ht="45">
      <c r="A97" s="143" t="s">
        <v>509</v>
      </c>
      <c r="B97" s="226" t="s">
        <v>422</v>
      </c>
      <c r="C97" s="59"/>
      <c r="D97" s="232">
        <f>SUM(D98:D98)</f>
        <v>35505</v>
      </c>
      <c r="E97" s="66" t="s">
        <v>975</v>
      </c>
    </row>
    <row r="98" spans="1:5" ht="15">
      <c r="A98" s="143"/>
      <c r="B98" s="217" t="s">
        <v>204</v>
      </c>
      <c r="C98" s="209" t="s">
        <v>229</v>
      </c>
      <c r="D98" s="214">
        <f>11709+23796</f>
        <v>35505</v>
      </c>
      <c r="E98" s="66"/>
    </row>
    <row r="99" spans="1:5" ht="60">
      <c r="A99" s="216" t="s">
        <v>904</v>
      </c>
      <c r="B99" s="226" t="s">
        <v>528</v>
      </c>
      <c r="C99" s="225"/>
      <c r="D99" s="221">
        <f>D100</f>
        <v>9770</v>
      </c>
      <c r="E99" s="209" t="s">
        <v>995</v>
      </c>
    </row>
    <row r="100" spans="1:5" ht="15">
      <c r="A100" s="512"/>
      <c r="B100" s="217" t="s">
        <v>204</v>
      </c>
      <c r="C100" s="209" t="s">
        <v>229</v>
      </c>
      <c r="D100" s="214">
        <v>9770</v>
      </c>
      <c r="E100" s="209"/>
    </row>
    <row r="101" spans="1:5" ht="29.25">
      <c r="A101" s="68" t="s">
        <v>142</v>
      </c>
      <c r="B101" s="160" t="s">
        <v>12</v>
      </c>
      <c r="C101" s="68"/>
      <c r="D101" s="157">
        <f>SUM(D102:D102,D103,D104:D109,D110,D112,D114,D119,D122,D124,D128,D130,D131,D133)</f>
        <v>-546190</v>
      </c>
      <c r="E101" s="66"/>
    </row>
    <row r="102" spans="1:5" ht="15">
      <c r="A102" s="143" t="s">
        <v>99</v>
      </c>
      <c r="B102" s="75" t="s">
        <v>98</v>
      </c>
      <c r="C102" s="59" t="s">
        <v>505</v>
      </c>
      <c r="D102" s="255">
        <v>64560</v>
      </c>
      <c r="E102" s="66" t="s">
        <v>607</v>
      </c>
    </row>
    <row r="103" spans="1:5" ht="15">
      <c r="A103" s="143"/>
      <c r="B103" s="75" t="s">
        <v>98</v>
      </c>
      <c r="C103" s="59" t="s">
        <v>459</v>
      </c>
      <c r="D103" s="255">
        <v>-800</v>
      </c>
      <c r="E103" s="66" t="s">
        <v>460</v>
      </c>
    </row>
    <row r="104" spans="1:5" ht="45">
      <c r="A104" s="143" t="s">
        <v>347</v>
      </c>
      <c r="B104" s="75" t="s">
        <v>257</v>
      </c>
      <c r="C104" s="59" t="s">
        <v>507</v>
      </c>
      <c r="D104" s="253">
        <v>25255</v>
      </c>
      <c r="E104" s="66" t="s">
        <v>976</v>
      </c>
    </row>
    <row r="105" spans="1:5" ht="15">
      <c r="A105" s="143"/>
      <c r="B105" s="75" t="s">
        <v>257</v>
      </c>
      <c r="C105" s="59" t="s">
        <v>505</v>
      </c>
      <c r="D105" s="254">
        <v>11164</v>
      </c>
      <c r="E105" s="66" t="s">
        <v>596</v>
      </c>
    </row>
    <row r="106" spans="1:5" ht="15">
      <c r="A106" s="143"/>
      <c r="B106" s="75" t="s">
        <v>257</v>
      </c>
      <c r="C106" s="59" t="s">
        <v>459</v>
      </c>
      <c r="D106" s="254">
        <v>-900</v>
      </c>
      <c r="E106" s="66" t="s">
        <v>460</v>
      </c>
    </row>
    <row r="107" spans="1:5" ht="15">
      <c r="A107" s="143" t="s">
        <v>348</v>
      </c>
      <c r="B107" s="75" t="s">
        <v>258</v>
      </c>
      <c r="C107" s="59" t="s">
        <v>459</v>
      </c>
      <c r="D107" s="255">
        <v>-16050</v>
      </c>
      <c r="E107" s="66" t="s">
        <v>460</v>
      </c>
    </row>
    <row r="108" spans="1:5" ht="15">
      <c r="A108" s="143" t="s">
        <v>429</v>
      </c>
      <c r="B108" s="75" t="s">
        <v>259</v>
      </c>
      <c r="C108" s="59" t="s">
        <v>505</v>
      </c>
      <c r="D108" s="253"/>
      <c r="E108" s="66" t="s">
        <v>596</v>
      </c>
    </row>
    <row r="109" spans="1:5" ht="30">
      <c r="A109" s="143"/>
      <c r="B109" s="75"/>
      <c r="C109" s="59" t="s">
        <v>507</v>
      </c>
      <c r="D109" s="255">
        <v>2000</v>
      </c>
      <c r="E109" s="66" t="s">
        <v>977</v>
      </c>
    </row>
    <row r="110" spans="1:5" ht="15.75">
      <c r="A110" s="143" t="s">
        <v>429</v>
      </c>
      <c r="B110" s="75" t="s">
        <v>259</v>
      </c>
      <c r="C110" s="59"/>
      <c r="D110" s="127">
        <f>D111</f>
        <v>10200</v>
      </c>
      <c r="E110" s="258" t="s">
        <v>933</v>
      </c>
    </row>
    <row r="111" spans="1:5" ht="15.75">
      <c r="A111" s="143"/>
      <c r="B111" s="74" t="s">
        <v>203</v>
      </c>
      <c r="C111" s="66" t="s">
        <v>193</v>
      </c>
      <c r="D111" s="164">
        <f>10200</f>
        <v>10200</v>
      </c>
      <c r="E111" s="258"/>
    </row>
    <row r="112" spans="1:5" ht="75">
      <c r="A112" s="248" t="s">
        <v>532</v>
      </c>
      <c r="B112" s="75" t="s">
        <v>426</v>
      </c>
      <c r="C112" s="66"/>
      <c r="D112" s="277">
        <f>D113</f>
        <v>9989</v>
      </c>
      <c r="E112" s="141" t="s">
        <v>798</v>
      </c>
    </row>
    <row r="113" spans="1:5" ht="15.75">
      <c r="A113" s="143"/>
      <c r="B113" s="217" t="s">
        <v>204</v>
      </c>
      <c r="C113" s="209" t="s">
        <v>229</v>
      </c>
      <c r="D113" s="164">
        <v>9989</v>
      </c>
      <c r="E113" s="258"/>
    </row>
    <row r="114" spans="1:5" ht="45">
      <c r="A114" s="143" t="s">
        <v>427</v>
      </c>
      <c r="B114" s="75" t="s">
        <v>260</v>
      </c>
      <c r="C114" s="59"/>
      <c r="D114" s="127">
        <f>SUM(D115:D118)</f>
        <v>-20360</v>
      </c>
      <c r="E114" s="66" t="s">
        <v>721</v>
      </c>
    </row>
    <row r="115" spans="1:5" ht="15" customHeight="1">
      <c r="A115" s="143"/>
      <c r="B115" s="74" t="s">
        <v>203</v>
      </c>
      <c r="C115" s="66" t="s">
        <v>193</v>
      </c>
      <c r="D115" s="33">
        <f>-3500-4117</f>
        <v>-7617</v>
      </c>
      <c r="E115" s="66"/>
    </row>
    <row r="116" spans="1:5" ht="15">
      <c r="A116" s="143"/>
      <c r="B116" s="74" t="s">
        <v>205</v>
      </c>
      <c r="C116" s="59" t="s">
        <v>327</v>
      </c>
      <c r="D116" s="33">
        <v>-9243</v>
      </c>
      <c r="E116" s="66"/>
    </row>
    <row r="117" spans="1:5" ht="15">
      <c r="A117" s="143"/>
      <c r="B117" s="74" t="s">
        <v>328</v>
      </c>
      <c r="C117" s="66" t="s">
        <v>330</v>
      </c>
      <c r="D117" s="33">
        <v>-3500</v>
      </c>
      <c r="E117" s="66"/>
    </row>
    <row r="118" spans="1:5" ht="15">
      <c r="A118" s="143"/>
      <c r="B118" s="130" t="s">
        <v>204</v>
      </c>
      <c r="C118" s="66" t="s">
        <v>198</v>
      </c>
      <c r="D118" s="33">
        <v>0</v>
      </c>
      <c r="E118" s="66"/>
    </row>
    <row r="119" spans="1:5" ht="30">
      <c r="A119" s="474" t="s">
        <v>649</v>
      </c>
      <c r="B119" s="75" t="s">
        <v>261</v>
      </c>
      <c r="C119" s="66"/>
      <c r="D119" s="232">
        <f>SUM(D120:D121)</f>
        <v>5595</v>
      </c>
      <c r="E119" s="66" t="s">
        <v>994</v>
      </c>
    </row>
    <row r="120" spans="1:5" ht="15">
      <c r="A120" s="474"/>
      <c r="B120" s="74" t="s">
        <v>203</v>
      </c>
      <c r="C120" s="66" t="s">
        <v>193</v>
      </c>
      <c r="D120" s="214">
        <f>-7000+2000</f>
        <v>-5000</v>
      </c>
      <c r="E120" s="66"/>
    </row>
    <row r="121" spans="1:5" ht="15">
      <c r="A121" s="143"/>
      <c r="B121" s="74" t="s">
        <v>456</v>
      </c>
      <c r="C121" s="59" t="s">
        <v>196</v>
      </c>
      <c r="D121" s="214">
        <f>8000+595+2000</f>
        <v>10595</v>
      </c>
      <c r="E121" s="66"/>
    </row>
    <row r="122" spans="1:5" ht="30">
      <c r="A122" s="474" t="s">
        <v>533</v>
      </c>
      <c r="B122" s="75" t="s">
        <v>263</v>
      </c>
      <c r="C122" s="59"/>
      <c r="D122" s="133">
        <f>D123</f>
        <v>8418</v>
      </c>
      <c r="E122" s="66"/>
    </row>
    <row r="123" spans="1:5" ht="32.25" customHeight="1">
      <c r="A123" s="248" t="s">
        <v>533</v>
      </c>
      <c r="B123" s="74" t="s">
        <v>328</v>
      </c>
      <c r="C123" s="168" t="s">
        <v>330</v>
      </c>
      <c r="D123" s="164">
        <v>8418</v>
      </c>
      <c r="E123" s="66" t="s">
        <v>978</v>
      </c>
    </row>
    <row r="124" spans="1:5" ht="75">
      <c r="A124" s="143" t="s">
        <v>428</v>
      </c>
      <c r="B124" s="75" t="s">
        <v>438</v>
      </c>
      <c r="C124" s="66"/>
      <c r="D124" s="232">
        <f>SUM(D125:D127)</f>
        <v>71783</v>
      </c>
      <c r="E124" s="66" t="s">
        <v>979</v>
      </c>
    </row>
    <row r="125" spans="1:5" ht="114.75" customHeight="1">
      <c r="A125" s="143"/>
      <c r="B125" s="74" t="s">
        <v>203</v>
      </c>
      <c r="C125" s="66" t="s">
        <v>193</v>
      </c>
      <c r="D125" s="214">
        <f>3125+7015+252+387+104+35000+11864+4000-1891</f>
        <v>59856</v>
      </c>
      <c r="E125" s="184" t="s">
        <v>941</v>
      </c>
    </row>
    <row r="126" spans="1:5" ht="79.5" customHeight="1">
      <c r="A126" s="143"/>
      <c r="B126" s="74" t="s">
        <v>205</v>
      </c>
      <c r="C126" s="59" t="s">
        <v>327</v>
      </c>
      <c r="D126" s="214">
        <f>2260-5000+1891</f>
        <v>-849</v>
      </c>
      <c r="E126" s="66" t="s">
        <v>939</v>
      </c>
    </row>
    <row r="127" spans="1:5" ht="94.5">
      <c r="A127" s="143"/>
      <c r="B127" s="130" t="s">
        <v>204</v>
      </c>
      <c r="C127" s="66" t="s">
        <v>198</v>
      </c>
      <c r="D127" s="214">
        <f>22000+1640+5000-11864-4000</f>
        <v>12776</v>
      </c>
      <c r="E127" s="132" t="s">
        <v>940</v>
      </c>
    </row>
    <row r="128" spans="1:5" ht="63">
      <c r="A128" s="278" t="s">
        <v>905</v>
      </c>
      <c r="B128" s="228" t="s">
        <v>534</v>
      </c>
      <c r="C128" s="66"/>
      <c r="D128" s="138">
        <f>D129</f>
        <v>-16821</v>
      </c>
      <c r="E128" s="132"/>
    </row>
    <row r="129" spans="1:5" ht="31.5">
      <c r="A129" s="143"/>
      <c r="B129" s="217" t="s">
        <v>204</v>
      </c>
      <c r="C129" s="209" t="s">
        <v>229</v>
      </c>
      <c r="D129" s="33">
        <v>-16821</v>
      </c>
      <c r="E129" s="57" t="s">
        <v>856</v>
      </c>
    </row>
    <row r="130" spans="1:5" ht="49.5" customHeight="1">
      <c r="A130" s="165" t="s">
        <v>512</v>
      </c>
      <c r="B130" s="181" t="s">
        <v>502</v>
      </c>
      <c r="C130" s="168" t="s">
        <v>330</v>
      </c>
      <c r="D130" s="133">
        <v>37625</v>
      </c>
      <c r="E130" s="209" t="s">
        <v>980</v>
      </c>
    </row>
    <row r="131" spans="1:5" ht="45">
      <c r="A131" s="143" t="s">
        <v>800</v>
      </c>
      <c r="B131" s="228" t="s">
        <v>653</v>
      </c>
      <c r="C131" s="516"/>
      <c r="D131" s="227">
        <f>D132</f>
        <v>-754581</v>
      </c>
      <c r="E131" s="223" t="s">
        <v>801</v>
      </c>
    </row>
    <row r="132" spans="1:5" ht="15">
      <c r="A132" s="251"/>
      <c r="B132" s="74" t="s">
        <v>204</v>
      </c>
      <c r="C132" s="59" t="s">
        <v>198</v>
      </c>
      <c r="D132" s="59">
        <v>-754581</v>
      </c>
      <c r="E132" s="514"/>
    </row>
    <row r="133" spans="1:5" ht="30">
      <c r="A133" s="512" t="s">
        <v>799</v>
      </c>
      <c r="B133" s="228" t="s">
        <v>654</v>
      </c>
      <c r="C133" s="513"/>
      <c r="D133" s="227">
        <f>SUM(D134:D135)</f>
        <v>16733</v>
      </c>
      <c r="E133" s="223"/>
    </row>
    <row r="134" spans="1:5" ht="15">
      <c r="A134" s="251"/>
      <c r="B134" s="74" t="s">
        <v>203</v>
      </c>
      <c r="C134" s="59" t="s">
        <v>193</v>
      </c>
      <c r="D134" s="515">
        <f>369+599</f>
        <v>968</v>
      </c>
      <c r="E134" s="223" t="s">
        <v>882</v>
      </c>
    </row>
    <row r="135" spans="1:5" ht="15">
      <c r="A135" s="251"/>
      <c r="B135" s="74" t="s">
        <v>204</v>
      </c>
      <c r="C135" s="59" t="s">
        <v>198</v>
      </c>
      <c r="D135" s="515">
        <f>-599+16364</f>
        <v>15765</v>
      </c>
      <c r="E135" s="560" t="s">
        <v>969</v>
      </c>
    </row>
    <row r="136" spans="1:5" ht="57.75">
      <c r="A136" s="511" t="s">
        <v>440</v>
      </c>
      <c r="B136" s="519" t="s">
        <v>407</v>
      </c>
      <c r="C136" s="209"/>
      <c r="D136" s="227">
        <f>D137+D138+D139+D140</f>
        <v>27500</v>
      </c>
      <c r="E136" s="517" t="s">
        <v>970</v>
      </c>
    </row>
    <row r="137" spans="1:5" ht="15">
      <c r="A137" s="512"/>
      <c r="B137" s="74" t="s">
        <v>18</v>
      </c>
      <c r="C137" s="59" t="s">
        <v>211</v>
      </c>
      <c r="D137" s="515">
        <v>4000</v>
      </c>
      <c r="E137" s="518"/>
    </row>
    <row r="138" spans="1:5" ht="15">
      <c r="A138" s="512"/>
      <c r="B138" s="74" t="s">
        <v>19</v>
      </c>
      <c r="C138" s="59" t="s">
        <v>7</v>
      </c>
      <c r="D138" s="515">
        <v>1000</v>
      </c>
      <c r="E138" s="518"/>
    </row>
    <row r="139" spans="1:5" ht="15">
      <c r="A139" s="512"/>
      <c r="B139" s="74" t="s">
        <v>203</v>
      </c>
      <c r="C139" s="59" t="s">
        <v>193</v>
      </c>
      <c r="D139" s="515">
        <v>20000</v>
      </c>
      <c r="E139" s="518"/>
    </row>
    <row r="140" spans="1:5" ht="15">
      <c r="A140" s="512"/>
      <c r="B140" s="74" t="s">
        <v>205</v>
      </c>
      <c r="C140" s="59" t="s">
        <v>327</v>
      </c>
      <c r="D140" s="515">
        <v>2500</v>
      </c>
      <c r="E140" s="518"/>
    </row>
    <row r="141" spans="1:5" ht="45">
      <c r="A141" s="158" t="s">
        <v>504</v>
      </c>
      <c r="B141" s="153" t="s">
        <v>498</v>
      </c>
      <c r="C141" s="66"/>
      <c r="D141" s="127">
        <f>SUM(D142:D144)</f>
        <v>0</v>
      </c>
      <c r="E141" s="168" t="s">
        <v>771</v>
      </c>
    </row>
    <row r="142" spans="1:5" ht="15">
      <c r="A142" s="143"/>
      <c r="B142" s="74" t="s">
        <v>203</v>
      </c>
      <c r="C142" s="66" t="s">
        <v>193</v>
      </c>
      <c r="D142" s="214">
        <v>-4980</v>
      </c>
      <c r="E142" s="66"/>
    </row>
    <row r="143" spans="1:5" ht="15">
      <c r="A143" s="143"/>
      <c r="B143" s="74" t="s">
        <v>205</v>
      </c>
      <c r="C143" s="59" t="s">
        <v>327</v>
      </c>
      <c r="D143" s="214">
        <v>3780</v>
      </c>
      <c r="E143" s="66"/>
    </row>
    <row r="144" spans="1:5" ht="15">
      <c r="A144" s="143"/>
      <c r="B144" s="74" t="s">
        <v>204</v>
      </c>
      <c r="C144" s="59" t="s">
        <v>198</v>
      </c>
      <c r="D144" s="214">
        <v>1200</v>
      </c>
      <c r="E144" s="66"/>
    </row>
    <row r="145" spans="1:5" ht="15">
      <c r="A145" s="67" t="s">
        <v>107</v>
      </c>
      <c r="B145" s="160" t="s">
        <v>15</v>
      </c>
      <c r="C145" s="67"/>
      <c r="D145" s="157">
        <f>SUM(D146+D150+D153+D154+D155+D160+D164+D165+D166+D172+D175+D177+D182+D188+D191+D193+D195+D197)</f>
        <v>-229201</v>
      </c>
      <c r="E145" s="66"/>
    </row>
    <row r="146" spans="1:5" ht="45">
      <c r="A146" s="66" t="s">
        <v>110</v>
      </c>
      <c r="B146" s="162" t="s">
        <v>265</v>
      </c>
      <c r="C146" s="67"/>
      <c r="D146" s="232">
        <f>SUM(D147:D149)</f>
        <v>28085</v>
      </c>
      <c r="E146" s="66" t="s">
        <v>898</v>
      </c>
    </row>
    <row r="147" spans="1:5" ht="62.25" customHeight="1">
      <c r="A147" s="67"/>
      <c r="B147" s="74" t="s">
        <v>203</v>
      </c>
      <c r="C147" s="66" t="s">
        <v>193</v>
      </c>
      <c r="D147" s="214">
        <f>4454+18000</f>
        <v>22454</v>
      </c>
      <c r="E147" s="66" t="s">
        <v>944</v>
      </c>
    </row>
    <row r="148" spans="1:5" ht="15">
      <c r="A148" s="67"/>
      <c r="B148" s="74" t="s">
        <v>205</v>
      </c>
      <c r="C148" s="59" t="s">
        <v>327</v>
      </c>
      <c r="D148" s="214">
        <v>4500</v>
      </c>
      <c r="E148" s="66"/>
    </row>
    <row r="149" spans="1:5" ht="30">
      <c r="A149" s="67"/>
      <c r="B149" s="74" t="s">
        <v>404</v>
      </c>
      <c r="C149" s="59" t="s">
        <v>613</v>
      </c>
      <c r="D149" s="214">
        <v>1131</v>
      </c>
      <c r="E149" s="66" t="s">
        <v>703</v>
      </c>
    </row>
    <row r="150" spans="1:5" ht="30">
      <c r="A150" s="143" t="s">
        <v>111</v>
      </c>
      <c r="B150" s="162" t="s">
        <v>266</v>
      </c>
      <c r="C150" s="66"/>
      <c r="D150" s="232">
        <f>SUM(D151:D152)</f>
        <v>33587</v>
      </c>
      <c r="E150" s="209"/>
    </row>
    <row r="151" spans="1:5" ht="15">
      <c r="A151" s="67"/>
      <c r="B151" s="74" t="s">
        <v>203</v>
      </c>
      <c r="C151" s="66" t="s">
        <v>193</v>
      </c>
      <c r="D151" s="214">
        <v>-363</v>
      </c>
      <c r="E151" s="66" t="s">
        <v>790</v>
      </c>
    </row>
    <row r="152" spans="1:5" ht="60">
      <c r="A152" s="67"/>
      <c r="B152" s="74" t="s">
        <v>328</v>
      </c>
      <c r="C152" s="66" t="s">
        <v>330</v>
      </c>
      <c r="D152" s="214">
        <f>1950+50000-18000</f>
        <v>33950</v>
      </c>
      <c r="E152" s="66" t="s">
        <v>981</v>
      </c>
    </row>
    <row r="153" spans="1:5" ht="15">
      <c r="A153" s="144" t="s">
        <v>496</v>
      </c>
      <c r="B153" s="75" t="s">
        <v>497</v>
      </c>
      <c r="C153" s="59" t="s">
        <v>505</v>
      </c>
      <c r="D153" s="254"/>
      <c r="E153" s="66" t="s">
        <v>596</v>
      </c>
    </row>
    <row r="154" spans="1:5" ht="60">
      <c r="A154" s="67"/>
      <c r="B154" s="74"/>
      <c r="C154" s="59" t="s">
        <v>506</v>
      </c>
      <c r="D154" s="253">
        <f>-1950-25815</f>
        <v>-27765</v>
      </c>
      <c r="E154" s="66" t="s">
        <v>925</v>
      </c>
    </row>
    <row r="155" spans="1:5" ht="15">
      <c r="A155" s="144" t="s">
        <v>447</v>
      </c>
      <c r="B155" s="162" t="s">
        <v>267</v>
      </c>
      <c r="C155" s="59"/>
      <c r="D155" s="232">
        <f>SUM(D156:D159)</f>
        <v>3481</v>
      </c>
      <c r="E155" s="168"/>
    </row>
    <row r="156" spans="1:5" ht="15">
      <c r="A156" s="144"/>
      <c r="B156" s="74" t="s">
        <v>18</v>
      </c>
      <c r="C156" s="59" t="s">
        <v>211</v>
      </c>
      <c r="D156" s="214">
        <v>1090</v>
      </c>
      <c r="E156" s="168" t="s">
        <v>730</v>
      </c>
    </row>
    <row r="157" spans="1:5" ht="15">
      <c r="A157" s="144"/>
      <c r="B157" s="74" t="s">
        <v>19</v>
      </c>
      <c r="C157" s="59" t="s">
        <v>7</v>
      </c>
      <c r="D157" s="214">
        <v>116</v>
      </c>
      <c r="E157" s="66"/>
    </row>
    <row r="158" spans="1:5" ht="30">
      <c r="A158" s="144"/>
      <c r="B158" s="74" t="s">
        <v>203</v>
      </c>
      <c r="C158" s="66" t="s">
        <v>193</v>
      </c>
      <c r="D158" s="214">
        <v>3831</v>
      </c>
      <c r="E158" s="66" t="s">
        <v>982</v>
      </c>
    </row>
    <row r="159" spans="1:5" ht="30">
      <c r="A159" s="144"/>
      <c r="B159" s="74" t="s">
        <v>204</v>
      </c>
      <c r="C159" s="59" t="s">
        <v>198</v>
      </c>
      <c r="D159" s="33">
        <v>-1556</v>
      </c>
      <c r="E159" s="66" t="s">
        <v>731</v>
      </c>
    </row>
    <row r="160" spans="1:24" s="170" customFormat="1" ht="30">
      <c r="A160" s="165" t="s">
        <v>323</v>
      </c>
      <c r="B160" s="166" t="s">
        <v>268</v>
      </c>
      <c r="C160" s="167"/>
      <c r="D160" s="232">
        <f>SUM(D161:D163)</f>
        <v>6820</v>
      </c>
      <c r="E160" s="119" t="s">
        <v>926</v>
      </c>
      <c r="F160" s="27"/>
      <c r="G160" s="27"/>
      <c r="H160" s="27"/>
      <c r="I160" s="27"/>
      <c r="J160" s="27"/>
      <c r="K160" s="27"/>
      <c r="L160" s="27"/>
      <c r="M160" s="27"/>
      <c r="N160" s="27"/>
      <c r="O160" s="27"/>
      <c r="P160" s="27"/>
      <c r="Q160" s="27"/>
      <c r="R160" s="27"/>
      <c r="S160" s="27"/>
      <c r="T160" s="27"/>
      <c r="U160" s="27"/>
      <c r="V160" s="27"/>
      <c r="W160" s="27"/>
      <c r="X160" s="27"/>
    </row>
    <row r="161" spans="1:5" ht="15">
      <c r="A161" s="144"/>
      <c r="B161" s="74" t="s">
        <v>203</v>
      </c>
      <c r="C161" s="66" t="s">
        <v>193</v>
      </c>
      <c r="D161" s="33">
        <v>-3170</v>
      </c>
      <c r="E161" s="209" t="s">
        <v>759</v>
      </c>
    </row>
    <row r="162" spans="1:5" ht="19.5" customHeight="1">
      <c r="A162" s="144"/>
      <c r="B162" s="74" t="s">
        <v>205</v>
      </c>
      <c r="C162" s="59" t="s">
        <v>327</v>
      </c>
      <c r="D162" s="33">
        <v>2270</v>
      </c>
      <c r="E162" s="561" t="s">
        <v>758</v>
      </c>
    </row>
    <row r="163" spans="1:5" ht="15">
      <c r="A163" s="144"/>
      <c r="B163" s="74" t="s">
        <v>204</v>
      </c>
      <c r="C163" s="59" t="s">
        <v>198</v>
      </c>
      <c r="D163" s="214">
        <v>7720</v>
      </c>
      <c r="E163" s="142"/>
    </row>
    <row r="164" spans="1:5" ht="15">
      <c r="A164" s="143" t="s">
        <v>342</v>
      </c>
      <c r="B164" s="162" t="s">
        <v>113</v>
      </c>
      <c r="C164" s="59" t="s">
        <v>349</v>
      </c>
      <c r="D164" s="256">
        <v>-107854</v>
      </c>
      <c r="E164" s="119" t="s">
        <v>597</v>
      </c>
    </row>
    <row r="165" spans="1:5" ht="15">
      <c r="A165" s="143"/>
      <c r="B165" s="162"/>
      <c r="C165" s="59" t="s">
        <v>1</v>
      </c>
      <c r="D165" s="256">
        <v>-70000</v>
      </c>
      <c r="E165" s="119" t="s">
        <v>597</v>
      </c>
    </row>
    <row r="166" spans="1:5" ht="30.75" customHeight="1">
      <c r="A166" s="143" t="s">
        <v>409</v>
      </c>
      <c r="B166" s="129" t="s">
        <v>270</v>
      </c>
      <c r="C166" s="66"/>
      <c r="D166" s="232">
        <f>SUM(D167:D171)</f>
        <v>-3152</v>
      </c>
      <c r="E166" s="119"/>
    </row>
    <row r="167" spans="1:5" ht="15">
      <c r="A167" s="576"/>
      <c r="B167" s="74" t="s">
        <v>18</v>
      </c>
      <c r="C167" s="59" t="s">
        <v>211</v>
      </c>
      <c r="D167" s="498">
        <v>1557</v>
      </c>
      <c r="E167" s="284"/>
    </row>
    <row r="168" spans="1:5" ht="15">
      <c r="A168" s="576"/>
      <c r="B168" s="74" t="s">
        <v>19</v>
      </c>
      <c r="C168" s="59" t="s">
        <v>7</v>
      </c>
      <c r="D168" s="498">
        <v>77</v>
      </c>
      <c r="E168" s="284"/>
    </row>
    <row r="169" spans="1:5" ht="90">
      <c r="A169" s="576"/>
      <c r="B169" s="74" t="s">
        <v>203</v>
      </c>
      <c r="C169" s="66" t="s">
        <v>193</v>
      </c>
      <c r="D169" s="498">
        <f>-3500-252-1640+1135+15000-2260-449-1634</f>
        <v>6400</v>
      </c>
      <c r="E169" s="284" t="s">
        <v>854</v>
      </c>
    </row>
    <row r="170" spans="1:5" ht="60">
      <c r="A170" s="576"/>
      <c r="B170" s="74" t="s">
        <v>205</v>
      </c>
      <c r="C170" s="59" t="s">
        <v>327</v>
      </c>
      <c r="D170" s="498">
        <f>3500+400+10000+600+449</f>
        <v>14949</v>
      </c>
      <c r="E170" s="284" t="s">
        <v>927</v>
      </c>
    </row>
    <row r="171" spans="1:5" ht="60">
      <c r="A171" s="576"/>
      <c r="B171" s="74" t="s">
        <v>328</v>
      </c>
      <c r="C171" s="66" t="s">
        <v>330</v>
      </c>
      <c r="D171" s="498">
        <f>-15000-10000-1135</f>
        <v>-26135</v>
      </c>
      <c r="E171" s="284" t="s">
        <v>928</v>
      </c>
    </row>
    <row r="172" spans="1:5" ht="29.25" customHeight="1">
      <c r="A172" s="143" t="s">
        <v>157</v>
      </c>
      <c r="B172" s="129" t="s">
        <v>271</v>
      </c>
      <c r="C172" s="66"/>
      <c r="D172" s="577">
        <f>SUM(D173:D174)</f>
        <v>135051</v>
      </c>
      <c r="E172" s="119"/>
    </row>
    <row r="173" spans="1:5" ht="15">
      <c r="A173" s="576"/>
      <c r="B173" s="74" t="s">
        <v>205</v>
      </c>
      <c r="C173" s="59" t="s">
        <v>327</v>
      </c>
      <c r="D173" s="59">
        <v>64000</v>
      </c>
      <c r="E173" s="119" t="s">
        <v>983</v>
      </c>
    </row>
    <row r="174" spans="1:5" ht="30">
      <c r="A174" s="576"/>
      <c r="B174" s="74" t="s">
        <v>204</v>
      </c>
      <c r="C174" s="59" t="s">
        <v>198</v>
      </c>
      <c r="D174" s="59">
        <f>70446+605</f>
        <v>71051</v>
      </c>
      <c r="E174" s="119" t="s">
        <v>711</v>
      </c>
    </row>
    <row r="175" spans="1:5" ht="30">
      <c r="A175" s="474" t="s">
        <v>661</v>
      </c>
      <c r="B175" s="129" t="s">
        <v>272</v>
      </c>
      <c r="C175" s="59"/>
      <c r="D175" s="578">
        <f>D176</f>
        <v>-500</v>
      </c>
      <c r="E175" s="119" t="s">
        <v>984</v>
      </c>
    </row>
    <row r="176" spans="1:5" ht="15">
      <c r="A176" s="576"/>
      <c r="B176" s="74" t="s">
        <v>328</v>
      </c>
      <c r="C176" s="66" t="s">
        <v>330</v>
      </c>
      <c r="D176" s="59">
        <v>-500</v>
      </c>
      <c r="E176" s="119"/>
    </row>
    <row r="177" spans="1:5" ht="45" customHeight="1">
      <c r="A177" s="474" t="s">
        <v>663</v>
      </c>
      <c r="B177" s="129" t="s">
        <v>662</v>
      </c>
      <c r="C177" s="59"/>
      <c r="D177" s="578">
        <f>SUM(D178:D181)</f>
        <v>-285477</v>
      </c>
      <c r="E177" s="119" t="s">
        <v>985</v>
      </c>
    </row>
    <row r="178" spans="1:5" ht="15">
      <c r="A178" s="576"/>
      <c r="B178" s="74" t="s">
        <v>18</v>
      </c>
      <c r="C178" s="59" t="s">
        <v>211</v>
      </c>
      <c r="D178" s="59">
        <v>-36930</v>
      </c>
      <c r="E178" s="119"/>
    </row>
    <row r="179" spans="1:5" ht="15">
      <c r="A179" s="576"/>
      <c r="B179" s="74" t="s">
        <v>19</v>
      </c>
      <c r="C179" s="59" t="s">
        <v>7</v>
      </c>
      <c r="D179" s="59">
        <v>-8896</v>
      </c>
      <c r="E179" s="119"/>
    </row>
    <row r="180" spans="1:5" ht="15">
      <c r="A180" s="576"/>
      <c r="B180" s="74" t="s">
        <v>203</v>
      </c>
      <c r="C180" s="66" t="s">
        <v>193</v>
      </c>
      <c r="D180" s="59">
        <v>-143031</v>
      </c>
      <c r="E180" s="119"/>
    </row>
    <row r="181" spans="1:5" ht="15">
      <c r="A181" s="576"/>
      <c r="B181" s="74" t="s">
        <v>205</v>
      </c>
      <c r="C181" s="59" t="s">
        <v>327</v>
      </c>
      <c r="D181" s="59">
        <v>-96620</v>
      </c>
      <c r="E181" s="119"/>
    </row>
    <row r="182" spans="1:5" ht="45">
      <c r="A182" s="248" t="s">
        <v>436</v>
      </c>
      <c r="B182" s="129" t="s">
        <v>431</v>
      </c>
      <c r="C182" s="59"/>
      <c r="D182" s="578">
        <f>SUM(D183:D187)</f>
        <v>-8915</v>
      </c>
      <c r="E182" s="119" t="s">
        <v>722</v>
      </c>
    </row>
    <row r="183" spans="1:5" ht="15">
      <c r="A183" s="576"/>
      <c r="B183" s="74" t="s">
        <v>18</v>
      </c>
      <c r="C183" s="59" t="s">
        <v>211</v>
      </c>
      <c r="D183" s="59">
        <v>2540</v>
      </c>
      <c r="E183" s="119"/>
    </row>
    <row r="184" spans="1:5" ht="15">
      <c r="A184" s="576"/>
      <c r="B184" s="74" t="s">
        <v>19</v>
      </c>
      <c r="C184" s="59" t="s">
        <v>7</v>
      </c>
      <c r="D184" s="59">
        <v>612</v>
      </c>
      <c r="E184" s="119"/>
    </row>
    <row r="185" spans="1:5" ht="15">
      <c r="A185" s="576"/>
      <c r="B185" s="74" t="s">
        <v>203</v>
      </c>
      <c r="C185" s="66" t="s">
        <v>193</v>
      </c>
      <c r="D185" s="59">
        <v>-17170</v>
      </c>
      <c r="E185" s="119"/>
    </row>
    <row r="186" spans="1:5" ht="15">
      <c r="A186" s="576"/>
      <c r="B186" s="74" t="s">
        <v>205</v>
      </c>
      <c r="C186" s="59" t="s">
        <v>327</v>
      </c>
      <c r="D186" s="59">
        <v>4400</v>
      </c>
      <c r="E186" s="119"/>
    </row>
    <row r="187" spans="1:5" ht="15">
      <c r="A187" s="576"/>
      <c r="B187" s="74" t="s">
        <v>204</v>
      </c>
      <c r="C187" s="59" t="s">
        <v>198</v>
      </c>
      <c r="D187" s="59">
        <v>703</v>
      </c>
      <c r="E187" s="119"/>
    </row>
    <row r="188" spans="1:5" ht="60">
      <c r="A188" s="216" t="s">
        <v>906</v>
      </c>
      <c r="B188" s="211" t="s">
        <v>437</v>
      </c>
      <c r="C188" s="516"/>
      <c r="D188" s="221">
        <f>SUM(D189:D190)</f>
        <v>-369</v>
      </c>
      <c r="E188" s="119" t="s">
        <v>802</v>
      </c>
    </row>
    <row r="189" spans="1:5" ht="15">
      <c r="A189" s="216"/>
      <c r="B189" s="74" t="s">
        <v>203</v>
      </c>
      <c r="C189" s="59" t="s">
        <v>193</v>
      </c>
      <c r="D189" s="215">
        <v>-1176</v>
      </c>
      <c r="E189" s="119"/>
    </row>
    <row r="190" spans="1:5" ht="15">
      <c r="A190" s="579"/>
      <c r="B190" s="74" t="s">
        <v>204</v>
      </c>
      <c r="C190" s="59" t="s">
        <v>198</v>
      </c>
      <c r="D190" s="215">
        <v>807</v>
      </c>
      <c r="E190" s="119"/>
    </row>
    <row r="191" spans="1:5" ht="60">
      <c r="A191" s="216" t="s">
        <v>586</v>
      </c>
      <c r="B191" s="211" t="s">
        <v>587</v>
      </c>
      <c r="C191" s="229"/>
      <c r="D191" s="221">
        <f>SUM(D192:D192)</f>
        <v>12294</v>
      </c>
      <c r="E191" s="223" t="s">
        <v>880</v>
      </c>
    </row>
    <row r="192" spans="1:5" ht="15">
      <c r="A192" s="216"/>
      <c r="B192" s="224" t="s">
        <v>204</v>
      </c>
      <c r="C192" s="222" t="s">
        <v>229</v>
      </c>
      <c r="D192" s="215">
        <v>12294</v>
      </c>
      <c r="E192" s="223"/>
    </row>
    <row r="193" spans="1:5" ht="79.5" customHeight="1">
      <c r="A193" s="216" t="s">
        <v>907</v>
      </c>
      <c r="B193" s="211" t="s">
        <v>709</v>
      </c>
      <c r="C193" s="222"/>
      <c r="D193" s="221">
        <f>SUM(D194:D194)</f>
        <v>51750</v>
      </c>
      <c r="E193" s="223" t="s">
        <v>996</v>
      </c>
    </row>
    <row r="194" spans="1:5" ht="30">
      <c r="A194" s="216"/>
      <c r="B194" s="224" t="s">
        <v>204</v>
      </c>
      <c r="C194" s="222" t="s">
        <v>229</v>
      </c>
      <c r="D194" s="215">
        <v>51750</v>
      </c>
      <c r="E194" s="223" t="s">
        <v>803</v>
      </c>
    </row>
    <row r="195" spans="1:5" ht="60">
      <c r="A195" s="216" t="s">
        <v>804</v>
      </c>
      <c r="B195" s="211" t="s">
        <v>805</v>
      </c>
      <c r="C195" s="128"/>
      <c r="D195" s="221">
        <f>SUM(D196:D196)</f>
        <v>2600</v>
      </c>
      <c r="E195" s="223" t="s">
        <v>997</v>
      </c>
    </row>
    <row r="196" spans="1:5" ht="30">
      <c r="A196" s="216"/>
      <c r="B196" s="74" t="s">
        <v>204</v>
      </c>
      <c r="C196" s="59" t="s">
        <v>198</v>
      </c>
      <c r="D196" s="215">
        <v>2600</v>
      </c>
      <c r="E196" s="223" t="s">
        <v>806</v>
      </c>
    </row>
    <row r="197" spans="1:5" ht="15.75" customHeight="1">
      <c r="A197" s="580" t="s">
        <v>894</v>
      </c>
      <c r="B197" s="171" t="s">
        <v>480</v>
      </c>
      <c r="C197" s="66"/>
      <c r="D197" s="232">
        <f>D198</f>
        <v>1163</v>
      </c>
      <c r="E197" s="163" t="s">
        <v>986</v>
      </c>
    </row>
    <row r="198" spans="1:5" ht="15">
      <c r="A198" s="143"/>
      <c r="B198" s="74" t="s">
        <v>328</v>
      </c>
      <c r="C198" s="66" t="s">
        <v>330</v>
      </c>
      <c r="D198" s="214">
        <v>1163</v>
      </c>
      <c r="E198" s="163"/>
    </row>
    <row r="199" spans="1:5" ht="15">
      <c r="A199" s="172" t="s">
        <v>8</v>
      </c>
      <c r="B199" s="160" t="s">
        <v>117</v>
      </c>
      <c r="C199" s="68" t="s">
        <v>8</v>
      </c>
      <c r="D199" s="157">
        <f>D200+D236+D242+D272+D306+D308+D313</f>
        <v>-1020978</v>
      </c>
      <c r="E199" s="69"/>
    </row>
    <row r="200" spans="1:5" ht="15">
      <c r="A200" s="173" t="s">
        <v>10</v>
      </c>
      <c r="B200" s="162" t="s">
        <v>118</v>
      </c>
      <c r="C200" s="59"/>
      <c r="D200" s="43">
        <f>SUM(D201+D207+D212+D218+D222+D226+D230+D234)</f>
        <v>93546</v>
      </c>
      <c r="E200" s="66"/>
    </row>
    <row r="201" spans="1:5" ht="30">
      <c r="A201" s="134" t="s">
        <v>401</v>
      </c>
      <c r="B201" s="135" t="s">
        <v>274</v>
      </c>
      <c r="C201" s="136"/>
      <c r="D201" s="133">
        <f>SUM(D202:D206)</f>
        <v>-135</v>
      </c>
      <c r="E201" s="509" t="s">
        <v>993</v>
      </c>
    </row>
    <row r="202" spans="1:5" ht="15">
      <c r="A202" s="134"/>
      <c r="B202" s="74" t="s">
        <v>18</v>
      </c>
      <c r="C202" s="59" t="s">
        <v>211</v>
      </c>
      <c r="D202" s="164">
        <v>-1000</v>
      </c>
      <c r="E202" s="66" t="s">
        <v>929</v>
      </c>
    </row>
    <row r="203" spans="1:5" ht="15">
      <c r="A203" s="134"/>
      <c r="B203" s="74" t="s">
        <v>19</v>
      </c>
      <c r="C203" s="59" t="s">
        <v>7</v>
      </c>
      <c r="D203" s="164">
        <v>0</v>
      </c>
      <c r="E203" s="66"/>
    </row>
    <row r="204" spans="1:5" ht="15">
      <c r="A204" s="134"/>
      <c r="B204" s="74" t="s">
        <v>203</v>
      </c>
      <c r="C204" s="66" t="s">
        <v>193</v>
      </c>
      <c r="D204" s="214">
        <v>-8340</v>
      </c>
      <c r="E204" s="66"/>
    </row>
    <row r="205" spans="1:5" ht="30">
      <c r="A205" s="134"/>
      <c r="B205" s="74" t="s">
        <v>205</v>
      </c>
      <c r="C205" s="59" t="s">
        <v>327</v>
      </c>
      <c r="D205" s="214">
        <v>6855</v>
      </c>
      <c r="E205" s="69" t="s">
        <v>792</v>
      </c>
    </row>
    <row r="206" spans="1:5" ht="15">
      <c r="A206" s="134"/>
      <c r="B206" s="74" t="s">
        <v>204</v>
      </c>
      <c r="C206" s="59" t="s">
        <v>198</v>
      </c>
      <c r="D206" s="214">
        <v>2350</v>
      </c>
      <c r="E206" s="69" t="s">
        <v>791</v>
      </c>
    </row>
    <row r="207" spans="1:5" ht="15">
      <c r="A207" s="134" t="s">
        <v>336</v>
      </c>
      <c r="B207" s="75" t="s">
        <v>275</v>
      </c>
      <c r="C207" s="59"/>
      <c r="D207" s="127">
        <f>SUM(D208:D211)</f>
        <v>0</v>
      </c>
      <c r="E207" s="145" t="s">
        <v>21</v>
      </c>
    </row>
    <row r="208" spans="1:5" ht="15">
      <c r="A208" s="134"/>
      <c r="B208" s="74" t="s">
        <v>18</v>
      </c>
      <c r="C208" s="59" t="s">
        <v>211</v>
      </c>
      <c r="D208" s="33">
        <v>-1200</v>
      </c>
      <c r="E208" s="168" t="s">
        <v>751</v>
      </c>
    </row>
    <row r="209" spans="1:5" ht="15">
      <c r="A209" s="134"/>
      <c r="B209" s="74" t="s">
        <v>203</v>
      </c>
      <c r="C209" s="59" t="s">
        <v>193</v>
      </c>
      <c r="D209" s="33">
        <v>1740</v>
      </c>
      <c r="E209" s="69" t="s">
        <v>750</v>
      </c>
    </row>
    <row r="210" spans="1:5" ht="15">
      <c r="A210" s="134"/>
      <c r="B210" s="74" t="s">
        <v>205</v>
      </c>
      <c r="C210" s="59" t="s">
        <v>327</v>
      </c>
      <c r="D210" s="33">
        <v>2188</v>
      </c>
      <c r="E210" s="69" t="s">
        <v>699</v>
      </c>
    </row>
    <row r="211" spans="1:5" ht="15">
      <c r="A211" s="134"/>
      <c r="B211" s="74" t="s">
        <v>204</v>
      </c>
      <c r="C211" s="59" t="s">
        <v>198</v>
      </c>
      <c r="D211" s="33">
        <v>-2728</v>
      </c>
      <c r="E211" s="69" t="s">
        <v>780</v>
      </c>
    </row>
    <row r="212" spans="1:5" ht="30">
      <c r="A212" s="134" t="s">
        <v>399</v>
      </c>
      <c r="B212" s="75" t="s">
        <v>276</v>
      </c>
      <c r="C212" s="59"/>
      <c r="D212" s="127">
        <f>SUM(D213:D217)</f>
        <v>2544</v>
      </c>
      <c r="E212" s="66" t="s">
        <v>737</v>
      </c>
    </row>
    <row r="213" spans="1:5" ht="15">
      <c r="A213" s="134"/>
      <c r="B213" s="74" t="s">
        <v>18</v>
      </c>
      <c r="C213" s="59" t="s">
        <v>211</v>
      </c>
      <c r="D213" s="33">
        <f>2050-500</f>
        <v>1550</v>
      </c>
      <c r="E213" s="66"/>
    </row>
    <row r="214" spans="1:5" ht="15">
      <c r="A214" s="134"/>
      <c r="B214" s="74" t="s">
        <v>19</v>
      </c>
      <c r="C214" s="59" t="s">
        <v>7</v>
      </c>
      <c r="D214" s="33">
        <v>994</v>
      </c>
      <c r="E214" s="66"/>
    </row>
    <row r="215" spans="1:5" ht="17.25" customHeight="1">
      <c r="A215" s="134"/>
      <c r="B215" s="74" t="s">
        <v>203</v>
      </c>
      <c r="C215" s="66" t="s">
        <v>193</v>
      </c>
      <c r="D215" s="214">
        <v>-3800</v>
      </c>
      <c r="E215" s="69" t="s">
        <v>735</v>
      </c>
    </row>
    <row r="216" spans="1:5" ht="30">
      <c r="A216" s="134"/>
      <c r="B216" s="74" t="s">
        <v>205</v>
      </c>
      <c r="C216" s="59" t="s">
        <v>327</v>
      </c>
      <c r="D216" s="214">
        <v>2100</v>
      </c>
      <c r="E216" s="69" t="s">
        <v>736</v>
      </c>
    </row>
    <row r="217" spans="1:5" ht="15">
      <c r="A217" s="134"/>
      <c r="B217" s="74" t="s">
        <v>204</v>
      </c>
      <c r="C217" s="59" t="s">
        <v>229</v>
      </c>
      <c r="D217" s="214">
        <v>1700</v>
      </c>
      <c r="E217" s="69" t="s">
        <v>752</v>
      </c>
    </row>
    <row r="218" spans="1:5" s="137" customFormat="1" ht="15">
      <c r="A218" s="134" t="s">
        <v>210</v>
      </c>
      <c r="B218" s="75" t="s">
        <v>277</v>
      </c>
      <c r="C218" s="59"/>
      <c r="D218" s="127">
        <f>SUM(D219:D221)</f>
        <v>0</v>
      </c>
      <c r="E218" s="145" t="s">
        <v>21</v>
      </c>
    </row>
    <row r="219" spans="1:5" s="137" customFormat="1" ht="15">
      <c r="A219" s="134"/>
      <c r="B219" s="74" t="s">
        <v>203</v>
      </c>
      <c r="C219" s="66" t="s">
        <v>193</v>
      </c>
      <c r="D219" s="33">
        <v>2693</v>
      </c>
      <c r="E219" s="69" t="s">
        <v>757</v>
      </c>
    </row>
    <row r="220" spans="1:5" s="137" customFormat="1" ht="15">
      <c r="A220" s="134"/>
      <c r="B220" s="74" t="s">
        <v>205</v>
      </c>
      <c r="C220" s="59" t="s">
        <v>327</v>
      </c>
      <c r="D220" s="33">
        <v>-1603</v>
      </c>
      <c r="E220" s="145" t="s">
        <v>756</v>
      </c>
    </row>
    <row r="221" spans="1:5" s="137" customFormat="1" ht="15">
      <c r="A221" s="134"/>
      <c r="B221" s="74" t="s">
        <v>204</v>
      </c>
      <c r="C221" s="59" t="s">
        <v>198</v>
      </c>
      <c r="D221" s="33">
        <v>-1090</v>
      </c>
      <c r="E221" s="145" t="s">
        <v>756</v>
      </c>
    </row>
    <row r="222" spans="1:5" s="137" customFormat="1" ht="15">
      <c r="A222" s="134" t="s">
        <v>400</v>
      </c>
      <c r="B222" s="75" t="s">
        <v>278</v>
      </c>
      <c r="C222" s="59"/>
      <c r="D222" s="127">
        <f>SUM(D223:D225)</f>
        <v>56137</v>
      </c>
      <c r="E222" s="145"/>
    </row>
    <row r="223" spans="1:5" s="137" customFormat="1" ht="15">
      <c r="A223" s="134"/>
      <c r="B223" s="74" t="s">
        <v>203</v>
      </c>
      <c r="C223" s="66" t="s">
        <v>193</v>
      </c>
      <c r="D223" s="164">
        <f>-6354</f>
        <v>-6354</v>
      </c>
      <c r="E223" s="69" t="s">
        <v>761</v>
      </c>
    </row>
    <row r="224" spans="1:5" s="137" customFormat="1" ht="15">
      <c r="A224" s="134"/>
      <c r="B224" s="74" t="s">
        <v>205</v>
      </c>
      <c r="C224" s="59" t="s">
        <v>327</v>
      </c>
      <c r="D224" s="33">
        <v>784</v>
      </c>
      <c r="E224" s="145" t="s">
        <v>760</v>
      </c>
    </row>
    <row r="225" spans="1:5" s="137" customFormat="1" ht="45">
      <c r="A225" s="134"/>
      <c r="B225" s="74" t="s">
        <v>204</v>
      </c>
      <c r="C225" s="59" t="s">
        <v>198</v>
      </c>
      <c r="D225" s="214">
        <f>24079+36128+1500</f>
        <v>61707</v>
      </c>
      <c r="E225" s="69" t="s">
        <v>954</v>
      </c>
    </row>
    <row r="226" spans="1:5" s="137" customFormat="1" ht="15">
      <c r="A226" s="134" t="s">
        <v>570</v>
      </c>
      <c r="B226" s="75" t="s">
        <v>279</v>
      </c>
      <c r="C226" s="59"/>
      <c r="D226" s="127">
        <f>SUM(D227:D229)</f>
        <v>0</v>
      </c>
      <c r="E226" s="145" t="s">
        <v>21</v>
      </c>
    </row>
    <row r="227" spans="1:5" s="137" customFormat="1" ht="30">
      <c r="A227" s="134"/>
      <c r="B227" s="74" t="s">
        <v>203</v>
      </c>
      <c r="C227" s="66" t="s">
        <v>193</v>
      </c>
      <c r="D227" s="164">
        <v>-3080</v>
      </c>
      <c r="E227" s="69" t="s">
        <v>839</v>
      </c>
    </row>
    <row r="228" spans="1:5" s="137" customFormat="1" ht="15">
      <c r="A228" s="134"/>
      <c r="B228" s="74" t="s">
        <v>205</v>
      </c>
      <c r="C228" s="59" t="s">
        <v>327</v>
      </c>
      <c r="D228" s="33">
        <v>1480</v>
      </c>
      <c r="E228" s="69" t="s">
        <v>728</v>
      </c>
    </row>
    <row r="229" spans="1:5" s="137" customFormat="1" ht="15">
      <c r="A229" s="134"/>
      <c r="B229" s="74" t="s">
        <v>204</v>
      </c>
      <c r="C229" s="59" t="s">
        <v>198</v>
      </c>
      <c r="D229" s="33">
        <v>1600</v>
      </c>
      <c r="E229" s="69" t="s">
        <v>729</v>
      </c>
    </row>
    <row r="230" spans="1:5" s="137" customFormat="1" ht="15">
      <c r="A230" s="134" t="s">
        <v>178</v>
      </c>
      <c r="B230" s="75" t="s">
        <v>280</v>
      </c>
      <c r="C230" s="59"/>
      <c r="D230" s="127">
        <f>SUM(D231:D233)</f>
        <v>0</v>
      </c>
      <c r="E230" s="145" t="s">
        <v>21</v>
      </c>
    </row>
    <row r="231" spans="1:5" s="137" customFormat="1" ht="15">
      <c r="A231" s="134"/>
      <c r="B231" s="74" t="s">
        <v>203</v>
      </c>
      <c r="C231" s="66" t="s">
        <v>193</v>
      </c>
      <c r="D231" s="33">
        <v>-2450</v>
      </c>
      <c r="E231" s="145" t="s">
        <v>957</v>
      </c>
    </row>
    <row r="232" spans="1:5" s="137" customFormat="1" ht="15">
      <c r="A232" s="134"/>
      <c r="B232" s="74" t="s">
        <v>205</v>
      </c>
      <c r="C232" s="59" t="s">
        <v>327</v>
      </c>
      <c r="D232" s="33">
        <v>230</v>
      </c>
      <c r="E232" s="145"/>
    </row>
    <row r="233" spans="1:5" s="137" customFormat="1" ht="15">
      <c r="A233" s="134"/>
      <c r="B233" s="74" t="s">
        <v>204</v>
      </c>
      <c r="C233" s="59" t="s">
        <v>198</v>
      </c>
      <c r="D233" s="33">
        <v>2220</v>
      </c>
      <c r="E233" s="145" t="s">
        <v>958</v>
      </c>
    </row>
    <row r="234" spans="1:5" s="137" customFormat="1" ht="45">
      <c r="A234" s="474" t="s">
        <v>667</v>
      </c>
      <c r="B234" s="75" t="s">
        <v>282</v>
      </c>
      <c r="C234" s="59"/>
      <c r="D234" s="127">
        <f>SUM(D235:D235)</f>
        <v>35000</v>
      </c>
      <c r="E234" s="145" t="s">
        <v>935</v>
      </c>
    </row>
    <row r="235" spans="1:5" s="137" customFormat="1" ht="30">
      <c r="A235" s="134"/>
      <c r="B235" s="74" t="s">
        <v>328</v>
      </c>
      <c r="C235" s="66" t="s">
        <v>311</v>
      </c>
      <c r="D235" s="164">
        <v>35000</v>
      </c>
      <c r="E235" s="169"/>
    </row>
    <row r="236" spans="1:5" s="137" customFormat="1" ht="45">
      <c r="A236" s="173" t="s">
        <v>228</v>
      </c>
      <c r="B236" s="75" t="s">
        <v>125</v>
      </c>
      <c r="C236" s="59"/>
      <c r="D236" s="127">
        <f>SUM(D237:D241)</f>
        <v>-81591</v>
      </c>
      <c r="E236" s="69" t="s">
        <v>959</v>
      </c>
    </row>
    <row r="237" spans="1:5" s="137" customFormat="1" ht="30">
      <c r="A237" s="173"/>
      <c r="B237" s="74" t="s">
        <v>203</v>
      </c>
      <c r="C237" s="59" t="s">
        <v>193</v>
      </c>
      <c r="D237" s="33">
        <v>-7560</v>
      </c>
      <c r="E237" s="69" t="s">
        <v>794</v>
      </c>
    </row>
    <row r="238" spans="1:5" s="137" customFormat="1" ht="15">
      <c r="A238" s="173"/>
      <c r="B238" s="74" t="s">
        <v>205</v>
      </c>
      <c r="C238" s="59" t="s">
        <v>327</v>
      </c>
      <c r="D238" s="214">
        <f>3500-81841</f>
        <v>-78341</v>
      </c>
      <c r="E238" s="218" t="s">
        <v>746</v>
      </c>
    </row>
    <row r="239" spans="1:5" s="137" customFormat="1" ht="15">
      <c r="A239" s="173"/>
      <c r="B239" s="74" t="s">
        <v>451</v>
      </c>
      <c r="C239" s="59" t="s">
        <v>152</v>
      </c>
      <c r="D239" s="33">
        <v>200</v>
      </c>
      <c r="E239" s="218" t="s">
        <v>795</v>
      </c>
    </row>
    <row r="240" spans="1:5" s="137" customFormat="1" ht="30">
      <c r="A240" s="173"/>
      <c r="B240" s="74" t="s">
        <v>204</v>
      </c>
      <c r="C240" s="59" t="s">
        <v>198</v>
      </c>
      <c r="D240" s="33">
        <v>3860</v>
      </c>
      <c r="E240" s="218" t="s">
        <v>745</v>
      </c>
    </row>
    <row r="241" spans="1:5" s="137" customFormat="1" ht="30">
      <c r="A241" s="173"/>
      <c r="B241" s="74" t="s">
        <v>404</v>
      </c>
      <c r="C241" s="59" t="s">
        <v>613</v>
      </c>
      <c r="D241" s="33">
        <v>250</v>
      </c>
      <c r="E241" s="69" t="s">
        <v>783</v>
      </c>
    </row>
    <row r="242" spans="1:5" ht="15">
      <c r="A242" s="173" t="s">
        <v>141</v>
      </c>
      <c r="B242" s="162" t="s">
        <v>124</v>
      </c>
      <c r="C242" s="59"/>
      <c r="D242" s="43">
        <f>D243+D252+D259+D264+D270</f>
        <v>-43376</v>
      </c>
      <c r="E242" s="66"/>
    </row>
    <row r="243" spans="1:5" ht="45">
      <c r="A243" s="174" t="s">
        <v>126</v>
      </c>
      <c r="B243" s="162" t="s">
        <v>285</v>
      </c>
      <c r="C243" s="59"/>
      <c r="D243" s="127">
        <f>SUM(D244:D251)</f>
        <v>-87284</v>
      </c>
      <c r="E243" s="69" t="s">
        <v>960</v>
      </c>
    </row>
    <row r="244" spans="1:5" ht="15">
      <c r="A244" s="174"/>
      <c r="B244" s="74" t="s">
        <v>18</v>
      </c>
      <c r="C244" s="59" t="s">
        <v>211</v>
      </c>
      <c r="D244" s="33">
        <v>-4971</v>
      </c>
      <c r="E244" s="66" t="s">
        <v>775</v>
      </c>
    </row>
    <row r="245" spans="1:5" ht="15">
      <c r="A245" s="174"/>
      <c r="B245" s="74" t="s">
        <v>19</v>
      </c>
      <c r="C245" s="59" t="s">
        <v>7</v>
      </c>
      <c r="D245" s="33">
        <v>3416</v>
      </c>
      <c r="E245" s="69"/>
    </row>
    <row r="246" spans="1:5" ht="15">
      <c r="A246" s="174"/>
      <c r="B246" s="74" t="s">
        <v>202</v>
      </c>
      <c r="C246" s="145" t="s">
        <v>192</v>
      </c>
      <c r="D246" s="33">
        <v>-400</v>
      </c>
      <c r="E246" s="69" t="s">
        <v>776</v>
      </c>
    </row>
    <row r="247" spans="1:5" ht="45">
      <c r="A247" s="174"/>
      <c r="B247" s="74" t="s">
        <v>203</v>
      </c>
      <c r="C247" s="66" t="s">
        <v>193</v>
      </c>
      <c r="D247" s="33">
        <v>-9949</v>
      </c>
      <c r="E247" s="69" t="s">
        <v>778</v>
      </c>
    </row>
    <row r="248" spans="1:5" ht="30">
      <c r="A248" s="173"/>
      <c r="B248" s="74" t="s">
        <v>205</v>
      </c>
      <c r="C248" s="59" t="s">
        <v>327</v>
      </c>
      <c r="D248" s="214">
        <f>2333-89199</f>
        <v>-86866</v>
      </c>
      <c r="E248" s="69" t="s">
        <v>788</v>
      </c>
    </row>
    <row r="249" spans="1:5" ht="15">
      <c r="A249" s="173"/>
      <c r="B249" s="74" t="s">
        <v>451</v>
      </c>
      <c r="C249" s="59" t="s">
        <v>152</v>
      </c>
      <c r="D249" s="33">
        <v>-222</v>
      </c>
      <c r="E249" s="69" t="s">
        <v>777</v>
      </c>
    </row>
    <row r="250" spans="1:5" ht="30">
      <c r="A250" s="173"/>
      <c r="B250" s="74" t="s">
        <v>204</v>
      </c>
      <c r="C250" s="59" t="s">
        <v>198</v>
      </c>
      <c r="D250" s="33">
        <v>9658</v>
      </c>
      <c r="E250" s="69" t="s">
        <v>787</v>
      </c>
    </row>
    <row r="251" spans="1:5" ht="30">
      <c r="A251" s="173"/>
      <c r="B251" s="74" t="s">
        <v>404</v>
      </c>
      <c r="C251" s="59" t="s">
        <v>613</v>
      </c>
      <c r="D251" s="33">
        <v>2050</v>
      </c>
      <c r="E251" s="69" t="s">
        <v>774</v>
      </c>
    </row>
    <row r="252" spans="1:5" ht="15">
      <c r="A252" s="174" t="s">
        <v>571</v>
      </c>
      <c r="B252" s="75" t="s">
        <v>286</v>
      </c>
      <c r="C252" s="59"/>
      <c r="D252" s="127">
        <f>SUM(D253:D258)</f>
        <v>9755</v>
      </c>
      <c r="E252" s="69"/>
    </row>
    <row r="253" spans="1:5" ht="15">
      <c r="A253" s="174"/>
      <c r="B253" s="74" t="s">
        <v>18</v>
      </c>
      <c r="C253" s="59" t="s">
        <v>211</v>
      </c>
      <c r="D253" s="33">
        <f>-1000+667</f>
        <v>-333</v>
      </c>
      <c r="E253" s="69" t="s">
        <v>766</v>
      </c>
    </row>
    <row r="254" spans="1:5" ht="15">
      <c r="A254" s="174"/>
      <c r="B254" s="74" t="s">
        <v>19</v>
      </c>
      <c r="C254" s="59" t="s">
        <v>7</v>
      </c>
      <c r="D254" s="33">
        <f>1000+33</f>
        <v>1033</v>
      </c>
      <c r="E254" s="69" t="s">
        <v>747</v>
      </c>
    </row>
    <row r="255" spans="1:5" ht="15">
      <c r="A255" s="173"/>
      <c r="B255" s="74" t="s">
        <v>203</v>
      </c>
      <c r="C255" s="66" t="s">
        <v>193</v>
      </c>
      <c r="D255" s="33">
        <v>9050</v>
      </c>
      <c r="E255" s="69" t="s">
        <v>784</v>
      </c>
    </row>
    <row r="256" spans="1:5" ht="18" customHeight="1">
      <c r="A256" s="173"/>
      <c r="B256" s="74" t="s">
        <v>205</v>
      </c>
      <c r="C256" s="59" t="s">
        <v>327</v>
      </c>
      <c r="D256" s="33">
        <v>-1500</v>
      </c>
      <c r="E256" s="69" t="s">
        <v>748</v>
      </c>
    </row>
    <row r="257" spans="1:5" ht="45">
      <c r="A257" s="173"/>
      <c r="B257" s="74" t="s">
        <v>204</v>
      </c>
      <c r="C257" s="59" t="s">
        <v>229</v>
      </c>
      <c r="D257" s="33">
        <f>7705-7550</f>
        <v>155</v>
      </c>
      <c r="E257" s="218" t="s">
        <v>987</v>
      </c>
    </row>
    <row r="258" spans="1:5" ht="30">
      <c r="A258" s="173"/>
      <c r="B258" s="74" t="s">
        <v>404</v>
      </c>
      <c r="C258" s="59" t="s">
        <v>613</v>
      </c>
      <c r="D258" s="33">
        <v>1350</v>
      </c>
      <c r="E258" s="69" t="s">
        <v>783</v>
      </c>
    </row>
    <row r="259" spans="1:5" ht="30">
      <c r="A259" s="174" t="s">
        <v>127</v>
      </c>
      <c r="B259" s="75" t="s">
        <v>288</v>
      </c>
      <c r="C259" s="59"/>
      <c r="D259" s="127">
        <f>SUM(D260:D263)</f>
        <v>-37546</v>
      </c>
      <c r="E259" s="69" t="s">
        <v>962</v>
      </c>
    </row>
    <row r="260" spans="1:5" ht="15">
      <c r="A260" s="174"/>
      <c r="B260" s="74" t="s">
        <v>202</v>
      </c>
      <c r="C260" s="145" t="s">
        <v>192</v>
      </c>
      <c r="D260" s="33">
        <v>27</v>
      </c>
      <c r="E260" s="168"/>
    </row>
    <row r="261" spans="1:5" ht="45">
      <c r="A261" s="174"/>
      <c r="B261" s="74" t="s">
        <v>203</v>
      </c>
      <c r="C261" s="59" t="s">
        <v>193</v>
      </c>
      <c r="D261" s="33">
        <v>-4500</v>
      </c>
      <c r="E261" s="69" t="s">
        <v>961</v>
      </c>
    </row>
    <row r="262" spans="1:5" ht="30">
      <c r="A262" s="174"/>
      <c r="B262" s="74" t="s">
        <v>205</v>
      </c>
      <c r="C262" s="59" t="s">
        <v>327</v>
      </c>
      <c r="D262" s="214">
        <f>6243-40116</f>
        <v>-33873</v>
      </c>
      <c r="E262" s="69" t="s">
        <v>762</v>
      </c>
    </row>
    <row r="263" spans="1:5" ht="30">
      <c r="A263" s="174"/>
      <c r="B263" s="74" t="s">
        <v>404</v>
      </c>
      <c r="C263" s="59" t="s">
        <v>613</v>
      </c>
      <c r="D263" s="33">
        <v>800</v>
      </c>
      <c r="E263" s="69" t="s">
        <v>783</v>
      </c>
    </row>
    <row r="264" spans="1:5" ht="15">
      <c r="A264" s="174" t="s">
        <v>566</v>
      </c>
      <c r="B264" s="75" t="s">
        <v>289</v>
      </c>
      <c r="C264" s="59"/>
      <c r="D264" s="127">
        <f>SUM(D265:D269)</f>
        <v>1659</v>
      </c>
      <c r="E264" s="168"/>
    </row>
    <row r="265" spans="1:5" ht="15">
      <c r="A265" s="174"/>
      <c r="B265" s="74" t="s">
        <v>19</v>
      </c>
      <c r="C265" s="59" t="s">
        <v>7</v>
      </c>
      <c r="D265" s="33">
        <v>113</v>
      </c>
      <c r="E265" s="168"/>
    </row>
    <row r="266" spans="1:5" ht="15">
      <c r="A266" s="174"/>
      <c r="B266" s="74" t="s">
        <v>203</v>
      </c>
      <c r="C266" s="59" t="s">
        <v>193</v>
      </c>
      <c r="D266" s="33">
        <f>-19+1489+170</f>
        <v>1640</v>
      </c>
      <c r="E266" s="168" t="s">
        <v>749</v>
      </c>
    </row>
    <row r="267" spans="1:5" ht="15">
      <c r="A267" s="174"/>
      <c r="B267" s="74" t="s">
        <v>205</v>
      </c>
      <c r="C267" s="59" t="s">
        <v>327</v>
      </c>
      <c r="D267" s="33">
        <v>165</v>
      </c>
      <c r="E267" s="69"/>
    </row>
    <row r="268" spans="1:5" ht="15">
      <c r="A268" s="174"/>
      <c r="B268" s="74" t="s">
        <v>204</v>
      </c>
      <c r="C268" s="59" t="s">
        <v>198</v>
      </c>
      <c r="D268" s="33">
        <v>-784</v>
      </c>
      <c r="E268" s="69"/>
    </row>
    <row r="269" spans="1:5" ht="30">
      <c r="A269" s="174"/>
      <c r="B269" s="74" t="s">
        <v>404</v>
      </c>
      <c r="C269" s="59" t="s">
        <v>613</v>
      </c>
      <c r="D269" s="33">
        <v>525</v>
      </c>
      <c r="E269" s="69" t="s">
        <v>785</v>
      </c>
    </row>
    <row r="270" spans="1:5" ht="45.75" customHeight="1">
      <c r="A270" s="143" t="s">
        <v>930</v>
      </c>
      <c r="B270" s="75" t="s">
        <v>931</v>
      </c>
      <c r="C270" s="66" t="s">
        <v>311</v>
      </c>
      <c r="D270" s="127">
        <f>SUM(D271)</f>
        <v>70040</v>
      </c>
      <c r="E270" s="69" t="s">
        <v>932</v>
      </c>
    </row>
    <row r="271" spans="1:5" ht="18" customHeight="1">
      <c r="A271" s="143"/>
      <c r="B271" s="74" t="s">
        <v>328</v>
      </c>
      <c r="C271" s="59"/>
      <c r="D271" s="33">
        <v>70040</v>
      </c>
      <c r="E271" s="69"/>
    </row>
    <row r="272" spans="1:5" s="14" customFormat="1" ht="27.75" customHeight="1">
      <c r="A272" s="158" t="s">
        <v>130</v>
      </c>
      <c r="B272" s="75" t="s">
        <v>129</v>
      </c>
      <c r="C272" s="174"/>
      <c r="D272" s="44">
        <f>D273+D279+D283+D291+D298</f>
        <v>119222</v>
      </c>
      <c r="E272" s="174"/>
    </row>
    <row r="273" spans="1:5" s="14" customFormat="1" ht="19.5" customHeight="1">
      <c r="A273" s="143" t="s">
        <v>17</v>
      </c>
      <c r="B273" s="75" t="s">
        <v>295</v>
      </c>
      <c r="C273" s="174"/>
      <c r="D273" s="126">
        <f>SUM(D274:D278)</f>
        <v>113668</v>
      </c>
      <c r="E273" s="66" t="s">
        <v>779</v>
      </c>
    </row>
    <row r="274" spans="1:5" s="14" customFormat="1" ht="30">
      <c r="A274" s="143"/>
      <c r="B274" s="74" t="s">
        <v>18</v>
      </c>
      <c r="C274" s="59" t="s">
        <v>211</v>
      </c>
      <c r="D274" s="219">
        <f>645+22161</f>
        <v>22806</v>
      </c>
      <c r="E274" s="209" t="s">
        <v>936</v>
      </c>
    </row>
    <row r="275" spans="1:5" s="14" customFormat="1" ht="15">
      <c r="A275" s="143"/>
      <c r="B275" s="74" t="s">
        <v>19</v>
      </c>
      <c r="C275" s="59" t="s">
        <v>7</v>
      </c>
      <c r="D275" s="219">
        <v>5339</v>
      </c>
      <c r="E275" s="209"/>
    </row>
    <row r="276" spans="1:5" s="14" customFormat="1" ht="30">
      <c r="A276" s="143"/>
      <c r="B276" s="74" t="s">
        <v>203</v>
      </c>
      <c r="C276" s="59" t="s">
        <v>193</v>
      </c>
      <c r="D276" s="146">
        <f>-8170-1247</f>
        <v>-9417</v>
      </c>
      <c r="E276" s="209" t="s">
        <v>938</v>
      </c>
    </row>
    <row r="277" spans="1:5" s="14" customFormat="1" ht="15">
      <c r="A277" s="143"/>
      <c r="B277" s="74" t="s">
        <v>205</v>
      </c>
      <c r="C277" s="59" t="s">
        <v>327</v>
      </c>
      <c r="D277" s="146">
        <f>1370+2500</f>
        <v>3870</v>
      </c>
      <c r="E277" s="209" t="s">
        <v>937</v>
      </c>
    </row>
    <row r="278" spans="1:5" s="14" customFormat="1" ht="60">
      <c r="A278" s="143"/>
      <c r="B278" s="74" t="s">
        <v>204</v>
      </c>
      <c r="C278" s="59" t="s">
        <v>229</v>
      </c>
      <c r="D278" s="219">
        <f>112000+12850-33780</f>
        <v>91070</v>
      </c>
      <c r="E278" s="209" t="s">
        <v>992</v>
      </c>
    </row>
    <row r="279" spans="1:5" s="14" customFormat="1" ht="15">
      <c r="A279" s="143" t="s">
        <v>149</v>
      </c>
      <c r="B279" s="75" t="s">
        <v>296</v>
      </c>
      <c r="C279" s="59"/>
      <c r="D279" s="126">
        <f>SUM(D280:D282)</f>
        <v>0</v>
      </c>
      <c r="E279" s="168" t="s">
        <v>21</v>
      </c>
    </row>
    <row r="280" spans="1:5" s="14" customFormat="1" ht="15">
      <c r="A280" s="143"/>
      <c r="B280" s="74" t="s">
        <v>203</v>
      </c>
      <c r="C280" s="59" t="s">
        <v>193</v>
      </c>
      <c r="D280" s="219">
        <v>-500</v>
      </c>
      <c r="E280" s="209" t="s">
        <v>764</v>
      </c>
    </row>
    <row r="281" spans="1:5" s="14" customFormat="1" ht="15">
      <c r="A281" s="143"/>
      <c r="B281" s="74" t="s">
        <v>205</v>
      </c>
      <c r="C281" s="59" t="s">
        <v>327</v>
      </c>
      <c r="D281" s="219">
        <v>1000</v>
      </c>
      <c r="E281" s="209"/>
    </row>
    <row r="282" spans="1:5" s="14" customFormat="1" ht="15">
      <c r="A282" s="143"/>
      <c r="B282" s="74" t="s">
        <v>204</v>
      </c>
      <c r="C282" s="59" t="s">
        <v>198</v>
      </c>
      <c r="D282" s="219">
        <v>-500</v>
      </c>
      <c r="E282" s="209" t="s">
        <v>763</v>
      </c>
    </row>
    <row r="283" spans="1:5" s="14" customFormat="1" ht="15">
      <c r="A283" s="143" t="s">
        <v>131</v>
      </c>
      <c r="B283" s="75" t="s">
        <v>297</v>
      </c>
      <c r="C283" s="59"/>
      <c r="D283" s="126">
        <f>SUM(D284:D290)</f>
        <v>-171699</v>
      </c>
      <c r="E283" s="168" t="s">
        <v>740</v>
      </c>
    </row>
    <row r="284" spans="1:5" s="14" customFormat="1" ht="15">
      <c r="A284" s="143"/>
      <c r="B284" s="74" t="s">
        <v>18</v>
      </c>
      <c r="C284" s="59" t="s">
        <v>211</v>
      </c>
      <c r="D284" s="146">
        <v>-90045</v>
      </c>
      <c r="E284" s="168"/>
    </row>
    <row r="285" spans="1:5" s="14" customFormat="1" ht="15">
      <c r="A285" s="143"/>
      <c r="B285" s="74" t="s">
        <v>19</v>
      </c>
      <c r="C285" s="59" t="s">
        <v>7</v>
      </c>
      <c r="D285" s="146">
        <v>-24572</v>
      </c>
      <c r="E285" s="209"/>
    </row>
    <row r="286" spans="1:5" s="14" customFormat="1" ht="15">
      <c r="A286" s="143"/>
      <c r="B286" s="74" t="s">
        <v>202</v>
      </c>
      <c r="C286" s="145" t="s">
        <v>192</v>
      </c>
      <c r="D286" s="219">
        <v>-1077</v>
      </c>
      <c r="E286" s="66"/>
    </row>
    <row r="287" spans="1:5" s="14" customFormat="1" ht="15">
      <c r="A287" s="143"/>
      <c r="B287" s="74" t="s">
        <v>203</v>
      </c>
      <c r="C287" s="59" t="s">
        <v>193</v>
      </c>
      <c r="D287" s="219">
        <v>-81380</v>
      </c>
      <c r="E287" s="66"/>
    </row>
    <row r="288" spans="1:5" s="14" customFormat="1" ht="15">
      <c r="A288" s="143"/>
      <c r="B288" s="74" t="s">
        <v>205</v>
      </c>
      <c r="C288" s="59" t="s">
        <v>327</v>
      </c>
      <c r="D288" s="219">
        <f>4000-27572</f>
        <v>-23572</v>
      </c>
      <c r="E288" s="66"/>
    </row>
    <row r="289" spans="1:5" s="14" customFormat="1" ht="15">
      <c r="A289" s="143"/>
      <c r="B289" s="74" t="s">
        <v>738</v>
      </c>
      <c r="C289" s="59" t="s">
        <v>739</v>
      </c>
      <c r="D289" s="219">
        <v>-500</v>
      </c>
      <c r="E289" s="66"/>
    </row>
    <row r="290" spans="1:5" s="14" customFormat="1" ht="15">
      <c r="A290" s="143"/>
      <c r="B290" s="74" t="s">
        <v>204</v>
      </c>
      <c r="C290" s="59" t="s">
        <v>198</v>
      </c>
      <c r="D290" s="219">
        <f>45104+4343</f>
        <v>49447</v>
      </c>
      <c r="E290" s="66"/>
    </row>
    <row r="291" spans="1:5" s="14" customFormat="1" ht="15">
      <c r="A291" s="143" t="s">
        <v>132</v>
      </c>
      <c r="B291" s="75" t="s">
        <v>298</v>
      </c>
      <c r="C291" s="59"/>
      <c r="D291" s="126">
        <f>SUM(D292:D297)</f>
        <v>-146304</v>
      </c>
      <c r="E291" s="168" t="s">
        <v>740</v>
      </c>
    </row>
    <row r="292" spans="1:5" s="14" customFormat="1" ht="15">
      <c r="A292" s="143"/>
      <c r="B292" s="74" t="s">
        <v>18</v>
      </c>
      <c r="C292" s="59" t="s">
        <v>211</v>
      </c>
      <c r="D292" s="146">
        <v>-57841</v>
      </c>
      <c r="E292" s="168"/>
    </row>
    <row r="293" spans="1:5" s="14" customFormat="1" ht="15">
      <c r="A293" s="143"/>
      <c r="B293" s="74" t="s">
        <v>19</v>
      </c>
      <c r="C293" s="59" t="s">
        <v>7</v>
      </c>
      <c r="D293" s="146">
        <v>-9398</v>
      </c>
      <c r="E293" s="168"/>
    </row>
    <row r="294" spans="1:5" s="14" customFormat="1" ht="15">
      <c r="A294" s="143"/>
      <c r="B294" s="74" t="s">
        <v>202</v>
      </c>
      <c r="C294" s="145" t="s">
        <v>192</v>
      </c>
      <c r="D294" s="219">
        <v>-1322</v>
      </c>
      <c r="E294" s="209"/>
    </row>
    <row r="295" spans="1:5" s="14" customFormat="1" ht="15">
      <c r="A295" s="143"/>
      <c r="B295" s="74" t="s">
        <v>203</v>
      </c>
      <c r="C295" s="59" t="s">
        <v>193</v>
      </c>
      <c r="D295" s="146">
        <v>-38644</v>
      </c>
      <c r="E295" s="209"/>
    </row>
    <row r="296" spans="1:5" s="14" customFormat="1" ht="15">
      <c r="A296" s="143"/>
      <c r="B296" s="74" t="s">
        <v>205</v>
      </c>
      <c r="C296" s="59" t="s">
        <v>327</v>
      </c>
      <c r="D296" s="219">
        <v>-15206</v>
      </c>
      <c r="E296" s="66"/>
    </row>
    <row r="297" spans="1:5" s="14" customFormat="1" ht="15">
      <c r="A297" s="143"/>
      <c r="B297" s="74" t="s">
        <v>204</v>
      </c>
      <c r="C297" s="59" t="s">
        <v>198</v>
      </c>
      <c r="D297" s="219">
        <v>-23893</v>
      </c>
      <c r="E297" s="66"/>
    </row>
    <row r="298" spans="1:5" s="14" customFormat="1" ht="45">
      <c r="A298" s="143" t="s">
        <v>716</v>
      </c>
      <c r="B298" s="75" t="s">
        <v>714</v>
      </c>
      <c r="C298" s="59"/>
      <c r="D298" s="126">
        <f>SUM(D299:D305)</f>
        <v>323557</v>
      </c>
      <c r="E298" s="168" t="s">
        <v>991</v>
      </c>
    </row>
    <row r="299" spans="1:5" s="14" customFormat="1" ht="15">
      <c r="A299" s="143"/>
      <c r="B299" s="74" t="s">
        <v>18</v>
      </c>
      <c r="C299" s="59" t="s">
        <v>211</v>
      </c>
      <c r="D299" s="146">
        <f>155167-10000</f>
        <v>145167</v>
      </c>
      <c r="E299" s="66"/>
    </row>
    <row r="300" spans="1:5" s="14" customFormat="1" ht="15">
      <c r="A300" s="143"/>
      <c r="B300" s="74" t="s">
        <v>19</v>
      </c>
      <c r="C300" s="59" t="s">
        <v>7</v>
      </c>
      <c r="D300" s="219">
        <f>34745+10000</f>
        <v>44745</v>
      </c>
      <c r="E300" s="66"/>
    </row>
    <row r="301" spans="1:5" s="14" customFormat="1" ht="15">
      <c r="A301" s="143"/>
      <c r="B301" s="74" t="s">
        <v>202</v>
      </c>
      <c r="C301" s="145" t="s">
        <v>192</v>
      </c>
      <c r="D301" s="219">
        <v>1249</v>
      </c>
      <c r="E301" s="66"/>
    </row>
    <row r="302" spans="1:5" s="14" customFormat="1" ht="15">
      <c r="A302" s="143"/>
      <c r="B302" s="74" t="s">
        <v>203</v>
      </c>
      <c r="C302" s="59" t="s">
        <v>193</v>
      </c>
      <c r="D302" s="219">
        <v>57062</v>
      </c>
      <c r="E302" s="66"/>
    </row>
    <row r="303" spans="1:5" s="14" customFormat="1" ht="15">
      <c r="A303" s="143"/>
      <c r="B303" s="74" t="s">
        <v>205</v>
      </c>
      <c r="C303" s="59" t="s">
        <v>327</v>
      </c>
      <c r="D303" s="219">
        <v>27588</v>
      </c>
      <c r="E303" s="168"/>
    </row>
    <row r="304" spans="1:5" s="14" customFormat="1" ht="15">
      <c r="A304" s="143"/>
      <c r="B304" s="74" t="s">
        <v>738</v>
      </c>
      <c r="C304" s="59" t="s">
        <v>739</v>
      </c>
      <c r="D304" s="219">
        <v>500</v>
      </c>
      <c r="E304" s="66"/>
    </row>
    <row r="305" spans="1:5" s="14" customFormat="1" ht="15">
      <c r="A305" s="143"/>
      <c r="B305" s="74" t="s">
        <v>204</v>
      </c>
      <c r="C305" s="59" t="s">
        <v>198</v>
      </c>
      <c r="D305" s="219">
        <f>51589-4343</f>
        <v>47246</v>
      </c>
      <c r="E305" s="168"/>
    </row>
    <row r="306" spans="1:5" s="14" customFormat="1" ht="15">
      <c r="A306" s="174" t="s">
        <v>702</v>
      </c>
      <c r="B306" s="75" t="s">
        <v>701</v>
      </c>
      <c r="C306" s="59"/>
      <c r="D306" s="133">
        <f>D307:D307</f>
        <v>240256</v>
      </c>
      <c r="E306" s="212" t="s">
        <v>934</v>
      </c>
    </row>
    <row r="307" spans="1:5" s="14" customFormat="1" ht="15">
      <c r="A307" s="134"/>
      <c r="B307" s="74" t="s">
        <v>205</v>
      </c>
      <c r="C307" s="59" t="s">
        <v>327</v>
      </c>
      <c r="D307" s="214">
        <f>29100+81841+89199+40116</f>
        <v>240256</v>
      </c>
      <c r="E307" s="212"/>
    </row>
    <row r="308" spans="1:5" s="14" customFormat="1" ht="75">
      <c r="A308" s="158" t="s">
        <v>375</v>
      </c>
      <c r="B308" s="75" t="s">
        <v>434</v>
      </c>
      <c r="C308" s="59"/>
      <c r="D308" s="213">
        <f>SUM(D309:D312)</f>
        <v>-17770</v>
      </c>
      <c r="E308" s="66" t="s">
        <v>786</v>
      </c>
    </row>
    <row r="309" spans="1:5" s="14" customFormat="1" ht="15">
      <c r="A309" s="158"/>
      <c r="B309" s="74" t="s">
        <v>18</v>
      </c>
      <c r="C309" s="59" t="s">
        <v>211</v>
      </c>
      <c r="D309" s="146">
        <v>-3200</v>
      </c>
      <c r="E309" s="66"/>
    </row>
    <row r="310" spans="1:5" s="14" customFormat="1" ht="15">
      <c r="A310" s="158"/>
      <c r="B310" s="74" t="s">
        <v>203</v>
      </c>
      <c r="C310" s="59" t="s">
        <v>193</v>
      </c>
      <c r="D310" s="146">
        <v>-9960</v>
      </c>
      <c r="E310" s="69"/>
    </row>
    <row r="311" spans="1:5" s="14" customFormat="1" ht="15">
      <c r="A311" s="158"/>
      <c r="B311" s="74" t="s">
        <v>205</v>
      </c>
      <c r="C311" s="59" t="s">
        <v>327</v>
      </c>
      <c r="D311" s="146">
        <v>-5410</v>
      </c>
      <c r="E311" s="69"/>
    </row>
    <row r="312" spans="1:5" s="14" customFormat="1" ht="15">
      <c r="A312" s="158"/>
      <c r="B312" s="74" t="s">
        <v>204</v>
      </c>
      <c r="C312" s="59" t="s">
        <v>198</v>
      </c>
      <c r="D312" s="146">
        <v>800</v>
      </c>
      <c r="E312" s="69" t="s">
        <v>767</v>
      </c>
    </row>
    <row r="313" spans="1:5" s="14" customFormat="1" ht="29.25">
      <c r="A313" s="158" t="s">
        <v>326</v>
      </c>
      <c r="B313" s="75" t="s">
        <v>133</v>
      </c>
      <c r="C313" s="59"/>
      <c r="D313" s="44">
        <f>SUM(D314+D317+D321+D325+D328+D332+D334+D339+D342+D344+D347+D352+D354+D356+D358+D360+D362+D364+D367)</f>
        <v>-1331265</v>
      </c>
      <c r="E313" s="69"/>
    </row>
    <row r="314" spans="1:5" s="14" customFormat="1" ht="60">
      <c r="A314" s="143" t="s">
        <v>909</v>
      </c>
      <c r="B314" s="75" t="s">
        <v>448</v>
      </c>
      <c r="C314" s="59"/>
      <c r="D314" s="126">
        <f>SUM(D315:D316)</f>
        <v>0</v>
      </c>
      <c r="E314" s="168" t="s">
        <v>21</v>
      </c>
    </row>
    <row r="315" spans="1:5" s="14" customFormat="1" ht="15">
      <c r="A315" s="158"/>
      <c r="B315" s="74" t="s">
        <v>203</v>
      </c>
      <c r="C315" s="59" t="s">
        <v>193</v>
      </c>
      <c r="D315" s="146">
        <v>-500</v>
      </c>
      <c r="E315" s="69"/>
    </row>
    <row r="316" spans="1:5" s="14" customFormat="1" ht="15">
      <c r="A316" s="158"/>
      <c r="B316" s="74" t="s">
        <v>205</v>
      </c>
      <c r="C316" s="59" t="s">
        <v>327</v>
      </c>
      <c r="D316" s="146">
        <v>500</v>
      </c>
      <c r="E316" s="69"/>
    </row>
    <row r="317" spans="1:5" s="14" customFormat="1" ht="60">
      <c r="A317" s="144" t="s">
        <v>910</v>
      </c>
      <c r="B317" s="75" t="s">
        <v>488</v>
      </c>
      <c r="C317" s="59"/>
      <c r="D317" s="126">
        <f>SUM(D318:D320)</f>
        <v>-2611</v>
      </c>
      <c r="E317" s="218" t="s">
        <v>966</v>
      </c>
    </row>
    <row r="318" spans="1:5" s="14" customFormat="1" ht="15">
      <c r="A318" s="144"/>
      <c r="B318" s="74" t="s">
        <v>18</v>
      </c>
      <c r="C318" s="59" t="s">
        <v>211</v>
      </c>
      <c r="D318" s="146">
        <v>-18727</v>
      </c>
      <c r="E318" s="231"/>
    </row>
    <row r="319" spans="1:5" s="14" customFormat="1" ht="15">
      <c r="A319" s="143"/>
      <c r="B319" s="74" t="s">
        <v>19</v>
      </c>
      <c r="C319" s="59" t="s">
        <v>7</v>
      </c>
      <c r="D319" s="146">
        <v>-3884</v>
      </c>
      <c r="E319" s="69"/>
    </row>
    <row r="320" spans="1:5" s="14" customFormat="1" ht="15">
      <c r="A320" s="143"/>
      <c r="B320" s="74" t="s">
        <v>328</v>
      </c>
      <c r="C320" s="66" t="s">
        <v>330</v>
      </c>
      <c r="D320" s="146">
        <v>20000</v>
      </c>
      <c r="E320" s="69"/>
    </row>
    <row r="321" spans="1:5" s="14" customFormat="1" ht="31.5">
      <c r="A321" s="278" t="s">
        <v>911</v>
      </c>
      <c r="B321" s="75" t="s">
        <v>541</v>
      </c>
      <c r="C321" s="59"/>
      <c r="D321" s="126">
        <f>SUM(D322:D324)</f>
        <v>0</v>
      </c>
      <c r="E321" s="168" t="s">
        <v>21</v>
      </c>
    </row>
    <row r="322" spans="1:5" s="14" customFormat="1" ht="15">
      <c r="A322" s="143"/>
      <c r="B322" s="74" t="s">
        <v>18</v>
      </c>
      <c r="C322" s="59" t="s">
        <v>211</v>
      </c>
      <c r="D322" s="146">
        <v>340</v>
      </c>
      <c r="E322" s="69"/>
    </row>
    <row r="323" spans="1:5" s="14" customFormat="1" ht="15">
      <c r="A323" s="143"/>
      <c r="B323" s="74" t="s">
        <v>19</v>
      </c>
      <c r="C323" s="59" t="s">
        <v>7</v>
      </c>
      <c r="D323" s="146">
        <v>78</v>
      </c>
      <c r="E323" s="69"/>
    </row>
    <row r="324" spans="1:5" s="14" customFormat="1" ht="15">
      <c r="A324" s="143"/>
      <c r="B324" s="74" t="s">
        <v>203</v>
      </c>
      <c r="C324" s="59" t="s">
        <v>193</v>
      </c>
      <c r="D324" s="146">
        <v>-418</v>
      </c>
      <c r="E324" s="69"/>
    </row>
    <row r="325" spans="1:5" s="14" customFormat="1" ht="47.25" customHeight="1">
      <c r="A325" s="278" t="s">
        <v>546</v>
      </c>
      <c r="B325" s="75" t="s">
        <v>545</v>
      </c>
      <c r="C325" s="59"/>
      <c r="D325" s="279">
        <f>SUM(D326:D327)</f>
        <v>0</v>
      </c>
      <c r="E325" s="69" t="s">
        <v>21</v>
      </c>
    </row>
    <row r="326" spans="1:5" s="14" customFormat="1" ht="15">
      <c r="A326" s="143"/>
      <c r="B326" s="74" t="s">
        <v>202</v>
      </c>
      <c r="C326" s="145" t="s">
        <v>192</v>
      </c>
      <c r="D326" s="146">
        <v>-346</v>
      </c>
      <c r="E326" s="69"/>
    </row>
    <row r="327" spans="1:5" s="14" customFormat="1" ht="15">
      <c r="A327" s="143"/>
      <c r="B327" s="74" t="s">
        <v>205</v>
      </c>
      <c r="C327" s="59" t="s">
        <v>327</v>
      </c>
      <c r="D327" s="146">
        <v>346</v>
      </c>
      <c r="E327" s="69"/>
    </row>
    <row r="328" spans="1:5" s="14" customFormat="1" ht="60">
      <c r="A328" s="512" t="s">
        <v>583</v>
      </c>
      <c r="B328" s="211" t="s">
        <v>547</v>
      </c>
      <c r="C328" s="59"/>
      <c r="D328" s="126">
        <f>SUM(D329:D331)</f>
        <v>0</v>
      </c>
      <c r="E328" s="69" t="s">
        <v>21</v>
      </c>
    </row>
    <row r="329" spans="1:5" s="14" customFormat="1" ht="15">
      <c r="A329" s="512"/>
      <c r="B329" s="74" t="s">
        <v>18</v>
      </c>
      <c r="C329" s="59" t="s">
        <v>211</v>
      </c>
      <c r="D329" s="146">
        <v>982</v>
      </c>
      <c r="E329" s="69"/>
    </row>
    <row r="330" spans="1:5" s="14" customFormat="1" ht="15">
      <c r="A330" s="512"/>
      <c r="B330" s="74" t="s">
        <v>19</v>
      </c>
      <c r="C330" s="59" t="s">
        <v>7</v>
      </c>
      <c r="D330" s="146">
        <v>204</v>
      </c>
      <c r="E330" s="69"/>
    </row>
    <row r="331" spans="1:5" s="14" customFormat="1" ht="15">
      <c r="A331" s="143"/>
      <c r="B331" s="74" t="s">
        <v>203</v>
      </c>
      <c r="C331" s="59" t="s">
        <v>193</v>
      </c>
      <c r="D331" s="146">
        <v>-1186</v>
      </c>
      <c r="E331" s="69"/>
    </row>
    <row r="332" spans="1:5" s="14" customFormat="1" ht="60">
      <c r="A332" s="144" t="s">
        <v>908</v>
      </c>
      <c r="B332" s="75" t="s">
        <v>376</v>
      </c>
      <c r="C332" s="59"/>
      <c r="D332" s="213">
        <f>SUM(D333:D333)</f>
        <v>-1400000</v>
      </c>
      <c r="E332" s="520" t="s">
        <v>807</v>
      </c>
    </row>
    <row r="333" spans="1:5" s="14" customFormat="1" ht="15">
      <c r="A333" s="143"/>
      <c r="B333" s="74" t="s">
        <v>204</v>
      </c>
      <c r="C333" s="59" t="s">
        <v>198</v>
      </c>
      <c r="D333" s="219">
        <v>-1400000</v>
      </c>
      <c r="E333" s="69"/>
    </row>
    <row r="334" spans="1:5" s="14" customFormat="1" ht="75">
      <c r="A334" s="144" t="s">
        <v>397</v>
      </c>
      <c r="B334" s="211" t="s">
        <v>398</v>
      </c>
      <c r="C334" s="59"/>
      <c r="D334" s="232">
        <f>SUM(D335:D338)</f>
        <v>3049</v>
      </c>
      <c r="E334" s="168" t="s">
        <v>765</v>
      </c>
    </row>
    <row r="335" spans="1:5" s="14" customFormat="1" ht="15">
      <c r="A335" s="144"/>
      <c r="B335" s="74" t="s">
        <v>18</v>
      </c>
      <c r="C335" s="59" t="s">
        <v>211</v>
      </c>
      <c r="D335" s="214">
        <f>1289-667</f>
        <v>622</v>
      </c>
      <c r="E335" s="139" t="s">
        <v>439</v>
      </c>
    </row>
    <row r="336" spans="1:5" s="14" customFormat="1" ht="15">
      <c r="A336" s="144"/>
      <c r="B336" s="74" t="s">
        <v>19</v>
      </c>
      <c r="C336" s="59" t="s">
        <v>7</v>
      </c>
      <c r="D336" s="214">
        <f>311-33</f>
        <v>278</v>
      </c>
      <c r="E336" s="139"/>
    </row>
    <row r="337" spans="1:5" s="14" customFormat="1" ht="15">
      <c r="A337" s="144"/>
      <c r="B337" s="74" t="s">
        <v>203</v>
      </c>
      <c r="C337" s="59" t="s">
        <v>193</v>
      </c>
      <c r="D337" s="214">
        <v>749</v>
      </c>
      <c r="E337" s="145"/>
    </row>
    <row r="338" spans="1:5" s="14" customFormat="1" ht="15">
      <c r="A338" s="144"/>
      <c r="B338" s="74" t="s">
        <v>205</v>
      </c>
      <c r="C338" s="59" t="s">
        <v>327</v>
      </c>
      <c r="D338" s="214">
        <v>1400</v>
      </c>
      <c r="E338" s="145"/>
    </row>
    <row r="339" spans="1:5" s="14" customFormat="1" ht="45" customHeight="1">
      <c r="A339" s="235" t="s">
        <v>912</v>
      </c>
      <c r="B339" s="75" t="s">
        <v>463</v>
      </c>
      <c r="C339" s="59"/>
      <c r="D339" s="127">
        <f>SUM(D340:D341)</f>
        <v>-3208</v>
      </c>
      <c r="E339" s="231" t="s">
        <v>808</v>
      </c>
    </row>
    <row r="340" spans="1:5" s="14" customFormat="1" ht="15">
      <c r="A340" s="235"/>
      <c r="B340" s="74" t="s">
        <v>18</v>
      </c>
      <c r="C340" s="59" t="s">
        <v>211</v>
      </c>
      <c r="D340" s="33">
        <v>-2585</v>
      </c>
      <c r="E340" s="231"/>
    </row>
    <row r="341" spans="1:5" s="14" customFormat="1" ht="15">
      <c r="A341" s="144"/>
      <c r="B341" s="74" t="s">
        <v>19</v>
      </c>
      <c r="C341" s="59" t="s">
        <v>7</v>
      </c>
      <c r="D341" s="140">
        <v>-623</v>
      </c>
      <c r="E341" s="145"/>
    </row>
    <row r="342" spans="1:5" s="14" customFormat="1" ht="94.5">
      <c r="A342" s="234" t="s">
        <v>590</v>
      </c>
      <c r="B342" s="581" t="s">
        <v>467</v>
      </c>
      <c r="C342" s="59"/>
      <c r="D342" s="236">
        <f>SUM(D343:D343)</f>
        <v>2776</v>
      </c>
      <c r="E342" s="231" t="s">
        <v>809</v>
      </c>
    </row>
    <row r="343" spans="1:5" s="14" customFormat="1" ht="15">
      <c r="A343" s="144"/>
      <c r="B343" s="74" t="s">
        <v>205</v>
      </c>
      <c r="C343" s="59" t="s">
        <v>327</v>
      </c>
      <c r="D343" s="185">
        <v>2776</v>
      </c>
      <c r="E343" s="66"/>
    </row>
    <row r="344" spans="1:5" s="14" customFormat="1" ht="90">
      <c r="A344" s="144" t="s">
        <v>494</v>
      </c>
      <c r="B344" s="75" t="s">
        <v>493</v>
      </c>
      <c r="C344" s="59"/>
      <c r="D344" s="127">
        <f>SUM(D345:D346)</f>
        <v>0</v>
      </c>
      <c r="E344" s="145" t="s">
        <v>21</v>
      </c>
    </row>
    <row r="345" spans="1:5" s="14" customFormat="1" ht="15">
      <c r="A345" s="144"/>
      <c r="B345" s="74" t="s">
        <v>202</v>
      </c>
      <c r="C345" s="145" t="s">
        <v>192</v>
      </c>
      <c r="D345" s="33">
        <v>1550</v>
      </c>
      <c r="E345" s="145"/>
    </row>
    <row r="346" spans="1:5" s="14" customFormat="1" ht="15">
      <c r="A346" s="144"/>
      <c r="B346" s="74" t="s">
        <v>203</v>
      </c>
      <c r="C346" s="59" t="s">
        <v>193</v>
      </c>
      <c r="D346" s="33">
        <v>-1550</v>
      </c>
      <c r="E346" s="145"/>
    </row>
    <row r="347" spans="1:5" s="14" customFormat="1" ht="75.75" customHeight="1">
      <c r="A347" s="582" t="s">
        <v>810</v>
      </c>
      <c r="B347" s="527" t="s">
        <v>811</v>
      </c>
      <c r="C347" s="521"/>
      <c r="D347" s="522">
        <f>SUM(D348:D351)</f>
        <v>4281</v>
      </c>
      <c r="E347" s="520" t="s">
        <v>812</v>
      </c>
    </row>
    <row r="348" spans="1:5" s="14" customFormat="1" ht="15">
      <c r="A348" s="216"/>
      <c r="B348" s="74" t="s">
        <v>18</v>
      </c>
      <c r="C348" s="59" t="s">
        <v>211</v>
      </c>
      <c r="D348" s="219">
        <v>105</v>
      </c>
      <c r="E348" s="523"/>
    </row>
    <row r="349" spans="1:5" s="14" customFormat="1" ht="15">
      <c r="A349" s="216"/>
      <c r="B349" s="74" t="s">
        <v>19</v>
      </c>
      <c r="C349" s="59" t="s">
        <v>7</v>
      </c>
      <c r="D349" s="219">
        <v>26</v>
      </c>
      <c r="E349" s="523"/>
    </row>
    <row r="350" spans="1:5" s="14" customFormat="1" ht="15">
      <c r="A350" s="216"/>
      <c r="B350" s="74" t="s">
        <v>203</v>
      </c>
      <c r="C350" s="59" t="s">
        <v>193</v>
      </c>
      <c r="D350" s="219">
        <f>1500+1000</f>
        <v>2500</v>
      </c>
      <c r="E350" s="523"/>
    </row>
    <row r="351" spans="1:5" s="14" customFormat="1" ht="15">
      <c r="A351" s="216"/>
      <c r="B351" s="74" t="s">
        <v>205</v>
      </c>
      <c r="C351" s="59" t="s">
        <v>327</v>
      </c>
      <c r="D351" s="219">
        <f>150+1500</f>
        <v>1650</v>
      </c>
      <c r="E351" s="523"/>
    </row>
    <row r="352" spans="1:5" s="14" customFormat="1" ht="60">
      <c r="A352" s="233" t="s">
        <v>813</v>
      </c>
      <c r="B352" s="211" t="s">
        <v>814</v>
      </c>
      <c r="C352" s="521"/>
      <c r="D352" s="213">
        <f>SUM(D353)</f>
        <v>800</v>
      </c>
      <c r="E352" s="520" t="s">
        <v>815</v>
      </c>
    </row>
    <row r="353" spans="1:5" s="14" customFormat="1" ht="15">
      <c r="A353" s="216"/>
      <c r="B353" s="74" t="s">
        <v>203</v>
      </c>
      <c r="C353" s="59" t="s">
        <v>193</v>
      </c>
      <c r="D353" s="219">
        <v>800</v>
      </c>
      <c r="E353" s="218"/>
    </row>
    <row r="354" spans="1:5" s="14" customFormat="1" ht="60">
      <c r="A354" s="233" t="s">
        <v>816</v>
      </c>
      <c r="B354" s="211" t="s">
        <v>817</v>
      </c>
      <c r="C354" s="521"/>
      <c r="D354" s="213">
        <f>SUM(D355:D355)</f>
        <v>2600</v>
      </c>
      <c r="E354" s="520" t="s">
        <v>815</v>
      </c>
    </row>
    <row r="355" spans="1:5" s="14" customFormat="1" ht="15">
      <c r="A355" s="233"/>
      <c r="B355" s="74" t="s">
        <v>203</v>
      </c>
      <c r="C355" s="59" t="s">
        <v>193</v>
      </c>
      <c r="D355" s="219">
        <v>2600</v>
      </c>
      <c r="E355" s="524"/>
    </row>
    <row r="356" spans="1:5" s="14" customFormat="1" ht="60">
      <c r="A356" s="233" t="s">
        <v>818</v>
      </c>
      <c r="B356" s="211" t="s">
        <v>819</v>
      </c>
      <c r="C356" s="521"/>
      <c r="D356" s="213">
        <f>SUM(D357)</f>
        <v>900</v>
      </c>
      <c r="E356" s="520" t="s">
        <v>815</v>
      </c>
    </row>
    <row r="357" spans="1:5" s="14" customFormat="1" ht="15">
      <c r="A357" s="216"/>
      <c r="B357" s="74" t="s">
        <v>203</v>
      </c>
      <c r="C357" s="59" t="s">
        <v>193</v>
      </c>
      <c r="D357" s="219">
        <v>900</v>
      </c>
      <c r="E357" s="523"/>
    </row>
    <row r="358" spans="1:5" s="14" customFormat="1" ht="60">
      <c r="A358" s="233" t="s">
        <v>822</v>
      </c>
      <c r="B358" s="211" t="s">
        <v>823</v>
      </c>
      <c r="C358" s="59"/>
      <c r="D358" s="213">
        <f>SUM(D359)</f>
        <v>1100</v>
      </c>
      <c r="E358" s="520" t="s">
        <v>815</v>
      </c>
    </row>
    <row r="359" spans="1:5" s="14" customFormat="1" ht="15">
      <c r="A359" s="546"/>
      <c r="B359" s="74" t="s">
        <v>203</v>
      </c>
      <c r="C359" s="59" t="s">
        <v>193</v>
      </c>
      <c r="D359" s="219">
        <v>1100</v>
      </c>
      <c r="E359" s="524"/>
    </row>
    <row r="360" spans="1:5" s="14" customFormat="1" ht="60">
      <c r="A360" s="233" t="s">
        <v>820</v>
      </c>
      <c r="B360" s="211" t="s">
        <v>821</v>
      </c>
      <c r="C360" s="59"/>
      <c r="D360" s="213">
        <f>SUM(D361)</f>
        <v>1000</v>
      </c>
      <c r="E360" s="520" t="s">
        <v>815</v>
      </c>
    </row>
    <row r="361" spans="1:5" s="14" customFormat="1" ht="15">
      <c r="A361" s="233"/>
      <c r="B361" s="74" t="s">
        <v>203</v>
      </c>
      <c r="C361" s="59" t="s">
        <v>193</v>
      </c>
      <c r="D361" s="219">
        <v>1000</v>
      </c>
      <c r="E361" s="524"/>
    </row>
    <row r="362" spans="1:5" s="14" customFormat="1" ht="45">
      <c r="A362" s="233" t="s">
        <v>824</v>
      </c>
      <c r="B362" s="211" t="s">
        <v>825</v>
      </c>
      <c r="C362" s="59"/>
      <c r="D362" s="213">
        <f>SUM(D363)</f>
        <v>800</v>
      </c>
      <c r="E362" s="520" t="s">
        <v>815</v>
      </c>
    </row>
    <row r="363" spans="1:5" s="14" customFormat="1" ht="15">
      <c r="A363" s="233"/>
      <c r="B363" s="74" t="s">
        <v>203</v>
      </c>
      <c r="C363" s="59" t="s">
        <v>193</v>
      </c>
      <c r="D363" s="219">
        <v>800</v>
      </c>
      <c r="E363" s="524"/>
    </row>
    <row r="364" spans="1:5" s="14" customFormat="1" ht="60">
      <c r="A364" s="512" t="s">
        <v>942</v>
      </c>
      <c r="B364" s="543" t="s">
        <v>943</v>
      </c>
      <c r="C364" s="59"/>
      <c r="D364" s="213">
        <f>D365+D366</f>
        <v>1000</v>
      </c>
      <c r="E364" s="520" t="s">
        <v>967</v>
      </c>
    </row>
    <row r="365" spans="1:5" s="14" customFormat="1" ht="15">
      <c r="A365" s="542"/>
      <c r="B365" s="74" t="s">
        <v>18</v>
      </c>
      <c r="C365" s="59" t="s">
        <v>211</v>
      </c>
      <c r="D365" s="219">
        <v>806</v>
      </c>
      <c r="E365" s="218"/>
    </row>
    <row r="366" spans="1:5" s="14" customFormat="1" ht="15">
      <c r="A366" s="542"/>
      <c r="B366" s="74" t="s">
        <v>19</v>
      </c>
      <c r="C366" s="59" t="s">
        <v>7</v>
      </c>
      <c r="D366" s="219">
        <v>194</v>
      </c>
      <c r="E366" s="218"/>
    </row>
    <row r="367" spans="1:5" s="14" customFormat="1" ht="45">
      <c r="A367" s="216" t="s">
        <v>952</v>
      </c>
      <c r="B367" s="75" t="s">
        <v>951</v>
      </c>
      <c r="C367" s="59"/>
      <c r="D367" s="213">
        <f>D368</f>
        <v>56248</v>
      </c>
      <c r="E367" s="218" t="s">
        <v>953</v>
      </c>
    </row>
    <row r="368" spans="1:5" s="14" customFormat="1" ht="15">
      <c r="A368" s="542"/>
      <c r="B368" s="74" t="s">
        <v>204</v>
      </c>
      <c r="C368" s="59" t="s">
        <v>198</v>
      </c>
      <c r="D368" s="219">
        <v>56248</v>
      </c>
      <c r="E368" s="218"/>
    </row>
    <row r="369" spans="1:5" ht="15">
      <c r="A369" s="172" t="s">
        <v>134</v>
      </c>
      <c r="B369" s="160" t="s">
        <v>16</v>
      </c>
      <c r="C369" s="67" t="s">
        <v>134</v>
      </c>
      <c r="D369" s="159">
        <f>SUM(D372+D383+D370,D377,D387,D392,D394,D398,D402)</f>
        <v>90903</v>
      </c>
      <c r="E369" s="59"/>
    </row>
    <row r="370" spans="1:5" ht="15" hidden="1">
      <c r="A370" s="175" t="s">
        <v>402</v>
      </c>
      <c r="B370" s="75" t="s">
        <v>303</v>
      </c>
      <c r="C370" s="59"/>
      <c r="D370" s="127">
        <f>SUM(D371:D371)</f>
        <v>0</v>
      </c>
      <c r="E370" s="163"/>
    </row>
    <row r="371" spans="1:5" ht="15" hidden="1">
      <c r="A371" s="175"/>
      <c r="B371" s="74" t="s">
        <v>203</v>
      </c>
      <c r="C371" s="66" t="s">
        <v>193</v>
      </c>
      <c r="D371" s="176"/>
      <c r="E371" s="66"/>
    </row>
    <row r="372" spans="1:5" ht="30">
      <c r="A372" s="143" t="s">
        <v>224</v>
      </c>
      <c r="B372" s="75" t="s">
        <v>707</v>
      </c>
      <c r="C372" s="66"/>
      <c r="D372" s="127">
        <f>SUM(D373:D376)</f>
        <v>-198</v>
      </c>
      <c r="E372" s="66"/>
    </row>
    <row r="373" spans="1:5" ht="30">
      <c r="A373" s="143"/>
      <c r="B373" s="74" t="s">
        <v>202</v>
      </c>
      <c r="C373" s="145" t="s">
        <v>192</v>
      </c>
      <c r="D373" s="33">
        <v>800</v>
      </c>
      <c r="E373" s="509" t="s">
        <v>770</v>
      </c>
    </row>
    <row r="374" spans="1:5" ht="15">
      <c r="A374" s="143"/>
      <c r="B374" s="74" t="s">
        <v>203</v>
      </c>
      <c r="C374" s="59" t="s">
        <v>193</v>
      </c>
      <c r="D374" s="33">
        <v>-970</v>
      </c>
      <c r="E374" s="583" t="s">
        <v>769</v>
      </c>
    </row>
    <row r="375" spans="1:5" ht="30">
      <c r="A375" s="175"/>
      <c r="B375" s="74" t="s">
        <v>205</v>
      </c>
      <c r="C375" s="59" t="s">
        <v>327</v>
      </c>
      <c r="D375" s="214">
        <v>-198</v>
      </c>
      <c r="E375" s="66" t="s">
        <v>837</v>
      </c>
    </row>
    <row r="376" spans="1:5" ht="30">
      <c r="A376" s="175"/>
      <c r="B376" s="74" t="s">
        <v>705</v>
      </c>
      <c r="C376" s="66" t="s">
        <v>706</v>
      </c>
      <c r="D376" s="214">
        <v>170</v>
      </c>
      <c r="E376" s="66" t="s">
        <v>768</v>
      </c>
    </row>
    <row r="377" spans="1:5" ht="15">
      <c r="A377" s="143" t="s">
        <v>139</v>
      </c>
      <c r="B377" s="75" t="s">
        <v>303</v>
      </c>
      <c r="C377" s="66"/>
      <c r="D377" s="138">
        <f>SUM(D378:D382)</f>
        <v>52295</v>
      </c>
      <c r="E377" s="66"/>
    </row>
    <row r="378" spans="1:5" ht="15">
      <c r="A378" s="143"/>
      <c r="B378" s="74" t="s">
        <v>18</v>
      </c>
      <c r="C378" s="59" t="s">
        <v>211</v>
      </c>
      <c r="D378" s="176">
        <v>4700</v>
      </c>
      <c r="E378" s="66" t="s">
        <v>950</v>
      </c>
    </row>
    <row r="379" spans="1:5" ht="15">
      <c r="A379" s="143"/>
      <c r="B379" s="74" t="s">
        <v>19</v>
      </c>
      <c r="C379" s="59" t="s">
        <v>7</v>
      </c>
      <c r="D379" s="33">
        <v>2300</v>
      </c>
      <c r="E379" s="66"/>
    </row>
    <row r="380" spans="1:5" ht="15">
      <c r="A380" s="143"/>
      <c r="B380" s="74" t="s">
        <v>202</v>
      </c>
      <c r="C380" s="145" t="s">
        <v>192</v>
      </c>
      <c r="D380" s="33">
        <v>2370</v>
      </c>
      <c r="E380" s="66" t="s">
        <v>732</v>
      </c>
    </row>
    <row r="381" spans="1:5" ht="60">
      <c r="A381" s="143"/>
      <c r="B381" s="74" t="s">
        <v>203</v>
      </c>
      <c r="C381" s="59" t="s">
        <v>193</v>
      </c>
      <c r="D381" s="257">
        <f>6848+5447-20290</f>
        <v>-7995</v>
      </c>
      <c r="E381" s="69" t="s">
        <v>988</v>
      </c>
    </row>
    <row r="382" spans="1:5" ht="45">
      <c r="A382" s="143"/>
      <c r="B382" s="74" t="s">
        <v>204</v>
      </c>
      <c r="C382" s="59" t="s">
        <v>198</v>
      </c>
      <c r="D382" s="176">
        <f>10920+40000</f>
        <v>50920</v>
      </c>
      <c r="E382" s="66" t="s">
        <v>841</v>
      </c>
    </row>
    <row r="383" spans="1:5" ht="30">
      <c r="A383" s="474" t="s">
        <v>32</v>
      </c>
      <c r="B383" s="75" t="s">
        <v>304</v>
      </c>
      <c r="C383" s="59"/>
      <c r="D383" s="127">
        <f>SUM(D384:D386)</f>
        <v>51993</v>
      </c>
      <c r="E383" s="66" t="s">
        <v>713</v>
      </c>
    </row>
    <row r="384" spans="1:5" ht="30">
      <c r="A384" s="143"/>
      <c r="B384" s="74" t="s">
        <v>345</v>
      </c>
      <c r="C384" s="59" t="s">
        <v>7</v>
      </c>
      <c r="D384" s="33">
        <v>51493</v>
      </c>
      <c r="E384" s="66" t="s">
        <v>989</v>
      </c>
    </row>
    <row r="385" spans="1:5" ht="15">
      <c r="A385" s="143"/>
      <c r="B385" s="74" t="s">
        <v>793</v>
      </c>
      <c r="C385" s="66" t="s">
        <v>199</v>
      </c>
      <c r="D385" s="33">
        <v>-24500</v>
      </c>
      <c r="E385" s="59"/>
    </row>
    <row r="386" spans="1:5" ht="15">
      <c r="A386" s="143"/>
      <c r="B386" s="74" t="s">
        <v>404</v>
      </c>
      <c r="C386" s="59" t="s">
        <v>414</v>
      </c>
      <c r="D386" s="214">
        <v>25000</v>
      </c>
      <c r="E386" s="66"/>
    </row>
    <row r="387" spans="1:5" ht="45">
      <c r="A387" s="216" t="s">
        <v>828</v>
      </c>
      <c r="B387" s="211" t="s">
        <v>432</v>
      </c>
      <c r="C387" s="59"/>
      <c r="D387" s="232">
        <f>SUM(D388:D391)</f>
        <v>25115</v>
      </c>
      <c r="E387" s="209" t="s">
        <v>829</v>
      </c>
    </row>
    <row r="388" spans="1:5" ht="15">
      <c r="A388" s="174"/>
      <c r="B388" s="74" t="s">
        <v>18</v>
      </c>
      <c r="C388" s="59" t="s">
        <v>211</v>
      </c>
      <c r="D388" s="214">
        <v>-6097</v>
      </c>
      <c r="E388" s="209"/>
    </row>
    <row r="389" spans="1:5" ht="15">
      <c r="A389" s="174"/>
      <c r="B389" s="74" t="s">
        <v>19</v>
      </c>
      <c r="C389" s="59" t="s">
        <v>7</v>
      </c>
      <c r="D389" s="214">
        <v>-1469</v>
      </c>
      <c r="E389" s="209"/>
    </row>
    <row r="390" spans="1:5" ht="15">
      <c r="A390" s="174"/>
      <c r="B390" s="74" t="s">
        <v>203</v>
      </c>
      <c r="C390" s="59" t="s">
        <v>193</v>
      </c>
      <c r="D390" s="214">
        <v>31181</v>
      </c>
      <c r="E390" s="209"/>
    </row>
    <row r="391" spans="1:5" ht="15">
      <c r="A391" s="174"/>
      <c r="B391" s="74" t="s">
        <v>205</v>
      </c>
      <c r="C391" s="59" t="s">
        <v>327</v>
      </c>
      <c r="D391" s="214">
        <v>1500</v>
      </c>
      <c r="E391" s="209"/>
    </row>
    <row r="392" spans="1:5" ht="45">
      <c r="A392" s="248" t="s">
        <v>188</v>
      </c>
      <c r="B392" s="211" t="s">
        <v>306</v>
      </c>
      <c r="C392" s="145"/>
      <c r="D392" s="127">
        <f>D393</f>
        <v>3300</v>
      </c>
      <c r="E392" s="66" t="s">
        <v>990</v>
      </c>
    </row>
    <row r="393" spans="1:5" ht="30">
      <c r="A393" s="174"/>
      <c r="B393" s="74" t="s">
        <v>328</v>
      </c>
      <c r="C393" s="66" t="s">
        <v>311</v>
      </c>
      <c r="D393" s="33">
        <v>3300</v>
      </c>
      <c r="E393" s="66"/>
    </row>
    <row r="394" spans="1:5" ht="45">
      <c r="A394" s="216" t="s">
        <v>591</v>
      </c>
      <c r="B394" s="211" t="s">
        <v>592</v>
      </c>
      <c r="C394" s="59"/>
      <c r="D394" s="127">
        <f>SUM(D395:D397)</f>
        <v>11198</v>
      </c>
      <c r="E394" s="520" t="s">
        <v>830</v>
      </c>
    </row>
    <row r="395" spans="1:5" ht="15">
      <c r="A395" s="174"/>
      <c r="B395" s="74" t="s">
        <v>18</v>
      </c>
      <c r="C395" s="59" t="s">
        <v>211</v>
      </c>
      <c r="D395" s="33">
        <v>8000</v>
      </c>
      <c r="E395" s="66"/>
    </row>
    <row r="396" spans="1:5" ht="15">
      <c r="A396" s="174"/>
      <c r="B396" s="74" t="s">
        <v>19</v>
      </c>
      <c r="C396" s="59" t="s">
        <v>7</v>
      </c>
      <c r="D396" s="33">
        <v>2702</v>
      </c>
      <c r="E396" s="66"/>
    </row>
    <row r="397" spans="1:5" ht="15">
      <c r="A397" s="174"/>
      <c r="B397" s="74" t="s">
        <v>205</v>
      </c>
      <c r="C397" s="59" t="s">
        <v>510</v>
      </c>
      <c r="D397" s="33">
        <v>496</v>
      </c>
      <c r="E397" s="66"/>
    </row>
    <row r="398" spans="1:5" ht="75">
      <c r="A398" s="216" t="s">
        <v>593</v>
      </c>
      <c r="B398" s="211" t="s">
        <v>394</v>
      </c>
      <c r="C398" s="59"/>
      <c r="D398" s="127">
        <f>SUM(D399:D401)</f>
        <v>10100</v>
      </c>
      <c r="E398" s="209" t="s">
        <v>831</v>
      </c>
    </row>
    <row r="399" spans="1:5" ht="15">
      <c r="A399" s="174"/>
      <c r="B399" s="74" t="s">
        <v>18</v>
      </c>
      <c r="C399" s="59" t="s">
        <v>211</v>
      </c>
      <c r="D399" s="33">
        <v>7520</v>
      </c>
      <c r="E399" s="66"/>
    </row>
    <row r="400" spans="1:5" ht="15">
      <c r="A400" s="174"/>
      <c r="B400" s="74" t="s">
        <v>19</v>
      </c>
      <c r="C400" s="59" t="s">
        <v>7</v>
      </c>
      <c r="D400" s="33">
        <v>1580</v>
      </c>
      <c r="E400" s="66"/>
    </row>
    <row r="401" spans="1:5" ht="15">
      <c r="A401" s="174"/>
      <c r="B401" s="74" t="s">
        <v>404</v>
      </c>
      <c r="C401" s="59" t="s">
        <v>414</v>
      </c>
      <c r="D401" s="33">
        <v>1000</v>
      </c>
      <c r="E401" s="66"/>
    </row>
    <row r="402" spans="1:5" ht="60">
      <c r="A402" s="144" t="s">
        <v>483</v>
      </c>
      <c r="B402" s="211" t="s">
        <v>482</v>
      </c>
      <c r="C402" s="59"/>
      <c r="D402" s="280">
        <f>D403</f>
        <v>-62900</v>
      </c>
      <c r="E402" s="66" t="s">
        <v>857</v>
      </c>
    </row>
    <row r="403" spans="1:5" ht="15">
      <c r="A403" s="144"/>
      <c r="B403" s="74" t="s">
        <v>204</v>
      </c>
      <c r="C403" s="59" t="s">
        <v>198</v>
      </c>
      <c r="D403" s="164">
        <v>-62900</v>
      </c>
      <c r="E403" s="66"/>
    </row>
    <row r="404" spans="1:5" ht="15">
      <c r="A404" s="59" t="s">
        <v>154</v>
      </c>
      <c r="B404" s="74"/>
      <c r="C404" s="59"/>
      <c r="D404" s="43">
        <v>2047794</v>
      </c>
      <c r="E404" s="59"/>
    </row>
    <row r="405" spans="1:5" s="16" customFormat="1" ht="14.25">
      <c r="A405" s="172"/>
      <c r="B405" s="160"/>
      <c r="C405" s="172" t="s">
        <v>20</v>
      </c>
      <c r="D405" s="157">
        <f>D5+D20+D31+D88+D101+D136+D141+D145+D199+D369+D404</f>
        <v>2317086</v>
      </c>
      <c r="E405" s="43"/>
    </row>
    <row r="406" spans="1:4" ht="15">
      <c r="A406" s="70" t="s">
        <v>35</v>
      </c>
      <c r="B406" s="16" t="s">
        <v>190</v>
      </c>
      <c r="D406" s="17">
        <f>D419</f>
        <v>1607861</v>
      </c>
    </row>
    <row r="407" spans="1:2" ht="27" customHeight="1">
      <c r="A407" s="590" t="s">
        <v>513</v>
      </c>
      <c r="B407" s="590"/>
    </row>
    <row r="408" spans="1:4" ht="15">
      <c r="A408" s="27" t="s">
        <v>508</v>
      </c>
      <c r="D408" s="13">
        <v>-186100</v>
      </c>
    </row>
    <row r="409" spans="1:4" ht="15">
      <c r="A409" s="27" t="s">
        <v>466</v>
      </c>
      <c r="D409" s="260"/>
    </row>
    <row r="410" ht="15">
      <c r="D410" s="56"/>
    </row>
    <row r="411" spans="4:5" ht="15">
      <c r="D411" s="56">
        <f>Ieņēmumi!G20+Ieņēmumi!G21+Ieņēmumi!G22-Izdevumi!D405-D406-Izdevumi!D407-Izdevumi!D408-Izdevumi!D409-'Fin. pagastu pārv.'!V14</f>
        <v>0</v>
      </c>
      <c r="E411" s="13"/>
    </row>
    <row r="412" ht="15">
      <c r="D412" s="56"/>
    </row>
    <row r="413" spans="1:4" ht="63">
      <c r="A413" s="591" t="s">
        <v>491</v>
      </c>
      <c r="B413" s="591"/>
      <c r="C413" s="591"/>
      <c r="D413" s="182" t="s">
        <v>492</v>
      </c>
    </row>
    <row r="414" spans="1:4" ht="33" customHeight="1">
      <c r="A414" s="593" t="s">
        <v>873</v>
      </c>
      <c r="B414" s="593"/>
      <c r="C414" s="593"/>
      <c r="D414" s="33">
        <v>39200</v>
      </c>
    </row>
    <row r="415" spans="1:4" ht="48" customHeight="1">
      <c r="A415" s="593" t="s">
        <v>874</v>
      </c>
      <c r="B415" s="593"/>
      <c r="C415" s="593"/>
      <c r="D415" s="33">
        <v>43996</v>
      </c>
    </row>
    <row r="416" spans="1:4" ht="33" customHeight="1">
      <c r="A416" s="593" t="s">
        <v>875</v>
      </c>
      <c r="B416" s="593"/>
      <c r="C416" s="593"/>
      <c r="D416" s="33">
        <v>264965</v>
      </c>
    </row>
    <row r="417" spans="1:4" ht="33" customHeight="1">
      <c r="A417" s="593" t="s">
        <v>876</v>
      </c>
      <c r="B417" s="593"/>
      <c r="C417" s="593"/>
      <c r="D417" s="214">
        <v>335121</v>
      </c>
    </row>
    <row r="418" spans="1:4" ht="52.5" customHeight="1">
      <c r="A418" s="593" t="s">
        <v>524</v>
      </c>
      <c r="B418" s="593"/>
      <c r="C418" s="593"/>
      <c r="D418" s="33">
        <f>73475+851104</f>
        <v>924579</v>
      </c>
    </row>
    <row r="419" spans="1:4" ht="15">
      <c r="A419" s="592" t="s">
        <v>213</v>
      </c>
      <c r="B419" s="592"/>
      <c r="C419" s="592"/>
      <c r="D419" s="43">
        <f>SUM(D414:D418)</f>
        <v>1607861</v>
      </c>
    </row>
    <row r="420" ht="15">
      <c r="D420" s="56"/>
    </row>
    <row r="421" ht="15">
      <c r="D421" s="56"/>
    </row>
    <row r="422" spans="1:5" ht="15">
      <c r="A422" s="27" t="s">
        <v>355</v>
      </c>
      <c r="B422" s="27"/>
      <c r="C422" s="13"/>
      <c r="D422" s="27" t="s">
        <v>36</v>
      </c>
      <c r="E422" s="13"/>
    </row>
    <row r="423" spans="2:5" ht="15">
      <c r="B423" s="27"/>
      <c r="C423" s="13"/>
      <c r="E423" s="13"/>
    </row>
  </sheetData>
  <sheetProtection/>
  <mergeCells count="9">
    <mergeCell ref="A2:E2"/>
    <mergeCell ref="A407:B407"/>
    <mergeCell ref="A413:C413"/>
    <mergeCell ref="A419:C419"/>
    <mergeCell ref="A414:C414"/>
    <mergeCell ref="A418:C418"/>
    <mergeCell ref="A415:C415"/>
    <mergeCell ref="A416:C416"/>
    <mergeCell ref="A417:C417"/>
  </mergeCells>
  <printOptions/>
  <pageMargins left="0.45" right="0.17" top="0.69" bottom="0.52"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M38"/>
  <sheetViews>
    <sheetView zoomScalePageLayoutView="0" workbookViewId="0" topLeftCell="A1">
      <selection activeCell="J36" sqref="J36"/>
    </sheetView>
  </sheetViews>
  <sheetFormatPr defaultColWidth="9.140625" defaultRowHeight="12.75"/>
  <cols>
    <col min="1" max="1" width="25.00390625" style="0" customWidth="1"/>
    <col min="2" max="2" width="11.28125" style="0" customWidth="1"/>
    <col min="3" max="3" width="10.00390625" style="0" customWidth="1"/>
    <col min="4" max="4" width="10.57421875" style="0" customWidth="1"/>
    <col min="5" max="7" width="10.00390625" style="0" customWidth="1"/>
    <col min="8" max="8" width="9.28125" style="0" customWidth="1"/>
    <col min="9" max="9" width="8.8515625" style="0" customWidth="1"/>
    <col min="10" max="10" width="8.140625" style="0" customWidth="1"/>
  </cols>
  <sheetData>
    <row r="1" spans="1:11" ht="12.75">
      <c r="A1" s="1"/>
      <c r="B1" s="1"/>
      <c r="C1" s="1"/>
      <c r="D1" s="1"/>
      <c r="E1" s="1"/>
      <c r="F1" t="s">
        <v>37</v>
      </c>
      <c r="G1" s="1"/>
      <c r="H1" s="1"/>
      <c r="I1" s="1"/>
      <c r="J1" s="1"/>
      <c r="K1" s="1"/>
    </row>
    <row r="2" spans="1:11" ht="33" customHeight="1">
      <c r="A2" s="594" t="s">
        <v>682</v>
      </c>
      <c r="B2" s="594"/>
      <c r="C2" s="594"/>
      <c r="D2" s="594"/>
      <c r="E2" s="594"/>
      <c r="F2" s="594"/>
      <c r="G2" s="594"/>
      <c r="H2" s="594"/>
      <c r="I2" s="594"/>
      <c r="J2" s="594"/>
      <c r="K2" s="594"/>
    </row>
    <row r="3" spans="1:11" ht="9" customHeight="1">
      <c r="A3" s="2"/>
      <c r="B3" s="2"/>
      <c r="C3" s="2"/>
      <c r="D3" s="2"/>
      <c r="E3" s="2"/>
      <c r="F3" s="2"/>
      <c r="G3" s="2"/>
      <c r="H3" s="2"/>
      <c r="I3" s="2"/>
      <c r="J3" s="2"/>
      <c r="K3" s="2"/>
    </row>
    <row r="4" spans="1:11" ht="16.5" thickBot="1">
      <c r="A4" s="3" t="s">
        <v>683</v>
      </c>
      <c r="B4" s="3"/>
      <c r="C4" s="3"/>
      <c r="D4" s="3"/>
      <c r="E4" s="3"/>
      <c r="F4" s="3"/>
      <c r="G4" s="3"/>
      <c r="H4" s="3"/>
      <c r="I4" s="3"/>
      <c r="J4" s="3"/>
      <c r="K4" s="1"/>
    </row>
    <row r="5" spans="1:11" ht="39.75" thickBot="1">
      <c r="A5" s="4"/>
      <c r="B5" s="42" t="s">
        <v>150</v>
      </c>
      <c r="C5" s="10" t="s">
        <v>151</v>
      </c>
      <c r="D5" s="42" t="s">
        <v>143</v>
      </c>
      <c r="E5" s="42" t="s">
        <v>321</v>
      </c>
      <c r="F5" s="42" t="s">
        <v>144</v>
      </c>
      <c r="G5" s="5" t="s">
        <v>145</v>
      </c>
      <c r="H5" s="41"/>
      <c r="I5" s="1"/>
      <c r="J5" s="1"/>
      <c r="K5" s="25"/>
    </row>
    <row r="6" spans="1:11" ht="15">
      <c r="A6" s="6" t="s">
        <v>146</v>
      </c>
      <c r="B6" s="109">
        <v>1251959</v>
      </c>
      <c r="C6" s="204">
        <v>570675</v>
      </c>
      <c r="D6" s="205">
        <v>549174</v>
      </c>
      <c r="E6" s="95">
        <v>614504</v>
      </c>
      <c r="F6" s="206">
        <v>181485</v>
      </c>
      <c r="G6" s="55">
        <f>SUM(B6:F6)</f>
        <v>3167797</v>
      </c>
      <c r="H6" s="8"/>
      <c r="I6" s="1"/>
      <c r="J6" s="1"/>
      <c r="K6" s="23"/>
    </row>
    <row r="7" spans="1:7" ht="15.75" thickBot="1">
      <c r="A7" s="48" t="s">
        <v>147</v>
      </c>
      <c r="B7">
        <v>670725</v>
      </c>
      <c r="C7" s="202">
        <v>301281</v>
      </c>
      <c r="D7" s="202">
        <v>296709</v>
      </c>
      <c r="E7" s="202">
        <v>327258</v>
      </c>
      <c r="F7" s="203">
        <v>105541</v>
      </c>
      <c r="G7" s="55">
        <f>SUM(B7:F7)</f>
        <v>1701514</v>
      </c>
    </row>
    <row r="8" spans="1:10" ht="15.75" thickBot="1">
      <c r="A8" s="50" t="s">
        <v>148</v>
      </c>
      <c r="B8" s="72">
        <f>SUM(B6:B7)</f>
        <v>1922684</v>
      </c>
      <c r="C8" s="72">
        <f>SUM(C6:C7)</f>
        <v>871956</v>
      </c>
      <c r="D8" s="72">
        <f>SUM(D6:D7)</f>
        <v>845883</v>
      </c>
      <c r="E8" s="72">
        <f>SUM(E6:E7)</f>
        <v>941762</v>
      </c>
      <c r="F8" s="72">
        <f>SUM(F6:F7)</f>
        <v>287026</v>
      </c>
      <c r="G8" s="51">
        <f>SUM(B8:F8)</f>
        <v>4869311</v>
      </c>
      <c r="H8" s="111"/>
      <c r="I8" s="23"/>
      <c r="J8" s="23"/>
    </row>
    <row r="9" spans="1:12" ht="15">
      <c r="A9" s="1"/>
      <c r="B9" s="7"/>
      <c r="C9" s="9"/>
      <c r="D9" s="9"/>
      <c r="E9" s="9"/>
      <c r="F9" s="52"/>
      <c r="G9" s="8"/>
      <c r="H9" s="47"/>
      <c r="I9" s="1"/>
      <c r="J9" s="1"/>
      <c r="L9" s="11"/>
    </row>
    <row r="10" spans="1:12" ht="16.5" thickBot="1">
      <c r="A10" s="3" t="s">
        <v>684</v>
      </c>
      <c r="B10" s="79"/>
      <c r="C10" s="79"/>
      <c r="D10" s="79"/>
      <c r="E10" s="80"/>
      <c r="F10" s="79"/>
      <c r="G10" s="79"/>
      <c r="H10" s="79"/>
      <c r="I10" s="79"/>
      <c r="J10" s="79"/>
      <c r="K10" s="1"/>
      <c r="L10" s="11"/>
    </row>
    <row r="11" spans="1:11" ht="15.75" thickBot="1">
      <c r="A11" s="4" t="s">
        <v>23</v>
      </c>
      <c r="B11" s="10" t="s">
        <v>379</v>
      </c>
      <c r="C11" s="10" t="s">
        <v>380</v>
      </c>
      <c r="D11" s="10" t="s">
        <v>381</v>
      </c>
      <c r="E11" s="10" t="s">
        <v>382</v>
      </c>
      <c r="F11" s="10" t="s">
        <v>383</v>
      </c>
      <c r="G11" s="10" t="s">
        <v>384</v>
      </c>
      <c r="H11" s="81" t="s">
        <v>385</v>
      </c>
      <c r="I11" s="82" t="s">
        <v>386</v>
      </c>
      <c r="J11" s="534"/>
      <c r="K11" s="11"/>
    </row>
    <row r="12" spans="1:11" ht="15">
      <c r="A12" s="83" t="s">
        <v>146</v>
      </c>
      <c r="B12" s="109">
        <v>91116</v>
      </c>
      <c r="C12" s="110">
        <v>65036</v>
      </c>
      <c r="D12" s="110">
        <v>79304</v>
      </c>
      <c r="E12" s="110">
        <v>76976</v>
      </c>
      <c r="F12" s="110">
        <v>29504</v>
      </c>
      <c r="G12" s="110">
        <v>72592</v>
      </c>
      <c r="H12" s="95">
        <v>30040</v>
      </c>
      <c r="I12" s="84">
        <f>SUM(B12:H12)</f>
        <v>444568</v>
      </c>
      <c r="J12" s="535"/>
      <c r="K12" s="11"/>
    </row>
    <row r="13" spans="1:11" ht="15.75" thickBot="1">
      <c r="A13" s="85" t="s">
        <v>147</v>
      </c>
      <c r="B13" s="207">
        <v>49270</v>
      </c>
      <c r="C13" s="207">
        <v>28768</v>
      </c>
      <c r="D13" s="207">
        <v>48732</v>
      </c>
      <c r="E13" s="207">
        <v>45964</v>
      </c>
      <c r="F13" s="207">
        <v>18560</v>
      </c>
      <c r="G13" s="207">
        <v>35051</v>
      </c>
      <c r="H13" s="207">
        <v>15209</v>
      </c>
      <c r="I13" s="86">
        <f>SUM(B13:H13)</f>
        <v>241554</v>
      </c>
      <c r="J13" s="535"/>
      <c r="K13" s="11"/>
    </row>
    <row r="14" spans="1:12" ht="15.75" thickBot="1">
      <c r="A14" s="87" t="s">
        <v>387</v>
      </c>
      <c r="B14" s="88">
        <f aca="true" t="shared" si="0" ref="B14:H14">SUM(B12:B13)</f>
        <v>140386</v>
      </c>
      <c r="C14" s="88">
        <f t="shared" si="0"/>
        <v>93804</v>
      </c>
      <c r="D14" s="88">
        <f t="shared" si="0"/>
        <v>128036</v>
      </c>
      <c r="E14" s="88">
        <f t="shared" si="0"/>
        <v>122940</v>
      </c>
      <c r="F14" s="88">
        <f t="shared" si="0"/>
        <v>48064</v>
      </c>
      <c r="G14" s="88">
        <f t="shared" si="0"/>
        <v>107643</v>
      </c>
      <c r="H14" s="88">
        <f t="shared" si="0"/>
        <v>45249</v>
      </c>
      <c r="I14" s="51">
        <f>SUM(B14:H14)</f>
        <v>686122</v>
      </c>
      <c r="J14" s="535"/>
      <c r="K14" s="111"/>
      <c r="L14" s="23"/>
    </row>
    <row r="15" spans="1:11" ht="15">
      <c r="A15" s="89"/>
      <c r="B15" s="9"/>
      <c r="C15" s="9"/>
      <c r="D15" s="9"/>
      <c r="E15" s="9"/>
      <c r="F15" s="9"/>
      <c r="G15" s="9"/>
      <c r="H15" s="9"/>
      <c r="I15" s="9"/>
      <c r="J15" s="9"/>
      <c r="K15" s="8"/>
    </row>
    <row r="16" spans="1:11" ht="16.5" thickBot="1">
      <c r="A16" s="3" t="s">
        <v>685</v>
      </c>
      <c r="B16" s="3"/>
      <c r="C16" s="3"/>
      <c r="D16" s="3"/>
      <c r="E16" s="3"/>
      <c r="F16" s="3"/>
      <c r="G16" s="3"/>
      <c r="H16" s="3"/>
      <c r="I16" s="3"/>
      <c r="J16" s="3"/>
      <c r="K16" s="1"/>
    </row>
    <row r="17" spans="1:11" ht="52.5" thickBot="1">
      <c r="A17" s="4"/>
      <c r="B17" s="90" t="s">
        <v>388</v>
      </c>
      <c r="C17" s="90" t="s">
        <v>389</v>
      </c>
      <c r="D17" s="91" t="s">
        <v>143</v>
      </c>
      <c r="E17" s="42" t="s">
        <v>321</v>
      </c>
      <c r="F17" s="92" t="s">
        <v>144</v>
      </c>
      <c r="G17" s="93" t="s">
        <v>17</v>
      </c>
      <c r="H17" s="42" t="s">
        <v>381</v>
      </c>
      <c r="I17" s="92" t="s">
        <v>744</v>
      </c>
      <c r="J17" s="82" t="s">
        <v>145</v>
      </c>
      <c r="K17" s="94"/>
    </row>
    <row r="18" spans="1:10" ht="15">
      <c r="A18" s="6" t="s">
        <v>390</v>
      </c>
      <c r="B18" s="109">
        <v>34259</v>
      </c>
      <c r="C18" s="110">
        <v>27687</v>
      </c>
      <c r="D18" s="109">
        <v>59278</v>
      </c>
      <c r="E18" s="110">
        <v>21254</v>
      </c>
      <c r="F18" s="95">
        <v>8428</v>
      </c>
      <c r="G18" s="95"/>
      <c r="H18" s="281">
        <v>8637</v>
      </c>
      <c r="I18" s="208"/>
      <c r="J18" s="84">
        <f>SUM(B18:I18)</f>
        <v>159543</v>
      </c>
    </row>
    <row r="19" spans="1:11" ht="15.75" thickBot="1">
      <c r="A19" s="96" t="s">
        <v>147</v>
      </c>
      <c r="B19" s="533">
        <v>15662</v>
      </c>
      <c r="C19" s="533">
        <v>14532</v>
      </c>
      <c r="D19" s="533">
        <v>19052</v>
      </c>
      <c r="E19" s="533">
        <v>12150</v>
      </c>
      <c r="F19" s="533">
        <v>6136</v>
      </c>
      <c r="G19" s="533">
        <v>15500</v>
      </c>
      <c r="H19" s="533"/>
      <c r="I19" s="536">
        <v>6136</v>
      </c>
      <c r="J19" s="97">
        <f>SUM(B19:I19)</f>
        <v>89168</v>
      </c>
      <c r="K19" s="98"/>
    </row>
    <row r="20" spans="1:10" ht="15.75" thickBot="1">
      <c r="A20" s="99" t="s">
        <v>391</v>
      </c>
      <c r="B20" s="100">
        <f aca="true" t="shared" si="1" ref="B20:I20">SUM(B18:B19)</f>
        <v>49921</v>
      </c>
      <c r="C20" s="100">
        <f t="shared" si="1"/>
        <v>42219</v>
      </c>
      <c r="D20" s="100">
        <f t="shared" si="1"/>
        <v>78330</v>
      </c>
      <c r="E20" s="100">
        <f t="shared" si="1"/>
        <v>33404</v>
      </c>
      <c r="F20" s="100">
        <f t="shared" si="1"/>
        <v>14564</v>
      </c>
      <c r="G20" s="100">
        <f t="shared" si="1"/>
        <v>15500</v>
      </c>
      <c r="H20" s="100">
        <f t="shared" si="1"/>
        <v>8637</v>
      </c>
      <c r="I20" s="100">
        <f t="shared" si="1"/>
        <v>6136</v>
      </c>
      <c r="J20" s="101">
        <f>SUM(B20:I20)</f>
        <v>248711</v>
      </c>
    </row>
    <row r="21" spans="1:13" ht="15">
      <c r="A21" s="1"/>
      <c r="B21" s="7"/>
      <c r="C21" s="7"/>
      <c r="D21" s="7"/>
      <c r="E21" s="7"/>
      <c r="F21" s="7"/>
      <c r="G21" s="7"/>
      <c r="H21" s="7"/>
      <c r="I21" s="7"/>
      <c r="J21" s="7"/>
      <c r="K21" s="7"/>
      <c r="L21" s="8"/>
      <c r="M21" s="7"/>
    </row>
    <row r="22" spans="1:11" ht="16.5" thickBot="1">
      <c r="A22" s="3" t="s">
        <v>686</v>
      </c>
      <c r="B22" s="3"/>
      <c r="C22" s="3"/>
      <c r="D22" s="3"/>
      <c r="E22" s="3"/>
      <c r="F22" s="3"/>
      <c r="G22" s="3"/>
      <c r="H22" s="3"/>
      <c r="I22" s="3"/>
      <c r="J22" s="3"/>
      <c r="K22" s="1"/>
    </row>
    <row r="23" spans="1:12" ht="52.5" thickBot="1">
      <c r="A23" s="4"/>
      <c r="B23" s="92" t="s">
        <v>17</v>
      </c>
      <c r="C23" s="92" t="s">
        <v>149</v>
      </c>
      <c r="D23" s="92" t="s">
        <v>392</v>
      </c>
      <c r="E23" s="92" t="s">
        <v>132</v>
      </c>
      <c r="F23" s="92" t="s">
        <v>744</v>
      </c>
      <c r="G23" s="82" t="s">
        <v>145</v>
      </c>
      <c r="H23" s="1"/>
      <c r="I23" s="1"/>
      <c r="J23" s="1"/>
      <c r="K23" s="1"/>
      <c r="L23" s="1"/>
    </row>
    <row r="24" spans="1:12" ht="15">
      <c r="A24" s="6" t="s">
        <v>390</v>
      </c>
      <c r="B24" s="262">
        <v>199090</v>
      </c>
      <c r="C24" s="262">
        <v>120559</v>
      </c>
      <c r="D24" s="263">
        <v>402009</v>
      </c>
      <c r="E24" s="264">
        <v>102999</v>
      </c>
      <c r="F24" s="262"/>
      <c r="G24" s="84">
        <f>SUM(B24:F24)</f>
        <v>824657</v>
      </c>
      <c r="H24" s="1"/>
      <c r="I24" s="8"/>
      <c r="J24" s="8"/>
      <c r="K24" s="1"/>
      <c r="L24" s="1"/>
    </row>
    <row r="25" spans="1:12" ht="15.75" thickBot="1">
      <c r="A25" s="48" t="s">
        <v>147</v>
      </c>
      <c r="B25" s="202">
        <v>4301</v>
      </c>
      <c r="C25" s="202">
        <v>2499</v>
      </c>
      <c r="D25" s="550">
        <v>-134000</v>
      </c>
      <c r="E25" s="537">
        <v>-39900</v>
      </c>
      <c r="F25" s="549">
        <f>134000+39900+8758</f>
        <v>182658</v>
      </c>
      <c r="G25" s="86">
        <f>SUM(B25:F25)</f>
        <v>15558</v>
      </c>
      <c r="H25" s="1"/>
      <c r="I25" s="1"/>
      <c r="J25" s="1"/>
      <c r="K25" s="1"/>
      <c r="L25" s="1"/>
    </row>
    <row r="26" spans="1:12" ht="15.75" thickBot="1">
      <c r="A26" s="50" t="s">
        <v>391</v>
      </c>
      <c r="B26" s="72">
        <f>SUM(B24:B25)</f>
        <v>203391</v>
      </c>
      <c r="C26" s="72">
        <f>SUM(C24:C25)</f>
        <v>123058</v>
      </c>
      <c r="D26" s="72">
        <f>SUM(D24:D25)</f>
        <v>268009</v>
      </c>
      <c r="E26" s="72">
        <f>SUM(E24:E25)</f>
        <v>63099</v>
      </c>
      <c r="F26" s="72">
        <f>SUM(F24:F25)</f>
        <v>182658</v>
      </c>
      <c r="G26" s="51">
        <f>SUM(B26:F26)</f>
        <v>840215</v>
      </c>
      <c r="H26" s="1"/>
      <c r="I26" s="8"/>
      <c r="J26" s="8"/>
      <c r="K26" s="1"/>
      <c r="L26" s="1"/>
    </row>
    <row r="27" spans="1:11" ht="15">
      <c r="A27" s="1"/>
      <c r="B27" s="7"/>
      <c r="C27" s="7"/>
      <c r="D27" s="7"/>
      <c r="E27" s="7"/>
      <c r="F27" s="8"/>
      <c r="G27" s="1"/>
      <c r="H27" s="1"/>
      <c r="I27" s="1"/>
      <c r="J27" s="1"/>
      <c r="K27" s="1"/>
    </row>
    <row r="28" spans="1:11" ht="16.5" thickBot="1">
      <c r="A28" s="595" t="s">
        <v>687</v>
      </c>
      <c r="B28" s="595"/>
      <c r="C28" s="595"/>
      <c r="D28" s="595"/>
      <c r="E28" s="595"/>
      <c r="F28" s="595"/>
      <c r="G28" s="1"/>
      <c r="H28" s="1"/>
      <c r="I28" s="1"/>
      <c r="J28" s="1"/>
      <c r="K28" s="1"/>
    </row>
    <row r="29" spans="1:10" ht="52.5" thickBot="1">
      <c r="A29" s="4"/>
      <c r="B29" s="92" t="s">
        <v>392</v>
      </c>
      <c r="C29" s="92" t="s">
        <v>744</v>
      </c>
      <c r="D29" s="82" t="s">
        <v>145</v>
      </c>
      <c r="E29" s="1"/>
      <c r="F29" s="1"/>
      <c r="G29" s="1"/>
      <c r="H29" s="1"/>
      <c r="I29" s="1"/>
      <c r="J29" s="1"/>
    </row>
    <row r="30" spans="1:10" ht="15">
      <c r="A30" s="48" t="s">
        <v>485</v>
      </c>
      <c r="B30" s="265">
        <v>794</v>
      </c>
      <c r="C30" s="265">
        <v>0</v>
      </c>
      <c r="D30" s="86">
        <f>SUM(B30:C30)</f>
        <v>794</v>
      </c>
      <c r="E30" s="1"/>
      <c r="F30" s="1"/>
      <c r="G30" s="1"/>
      <c r="H30" s="1"/>
      <c r="I30" s="1"/>
      <c r="J30" s="1"/>
    </row>
    <row r="31" spans="1:10" ht="15.75" thickBot="1">
      <c r="A31" s="48" t="s">
        <v>147</v>
      </c>
      <c r="B31" s="557">
        <v>-794</v>
      </c>
      <c r="C31" s="49">
        <v>794</v>
      </c>
      <c r="D31" s="55">
        <f>SUM(B31:C31)</f>
        <v>0</v>
      </c>
      <c r="E31" s="1"/>
      <c r="F31" s="1"/>
      <c r="G31" s="1"/>
      <c r="H31" s="1"/>
      <c r="I31" s="1"/>
      <c r="J31" s="1"/>
    </row>
    <row r="32" spans="1:10" ht="15.75" thickBot="1">
      <c r="A32" s="50" t="s">
        <v>391</v>
      </c>
      <c r="B32" s="72">
        <f>SUM(B30:B31)</f>
        <v>0</v>
      </c>
      <c r="C32" s="72">
        <f>SUM(C30:C31)</f>
        <v>794</v>
      </c>
      <c r="D32" s="177">
        <f>SUM(D30:D31)</f>
        <v>794</v>
      </c>
      <c r="F32" s="1"/>
      <c r="G32" s="1"/>
      <c r="H32" s="1"/>
      <c r="I32" s="1"/>
      <c r="J32" s="1"/>
    </row>
    <row r="33" spans="1:11" ht="15">
      <c r="A33" s="1"/>
      <c r="B33" s="7"/>
      <c r="C33" s="7"/>
      <c r="D33" s="7"/>
      <c r="E33" s="7"/>
      <c r="F33" s="8"/>
      <c r="G33" s="1"/>
      <c r="H33" s="1"/>
      <c r="I33" s="1"/>
      <c r="J33" s="1"/>
      <c r="K33" s="1"/>
    </row>
    <row r="34" spans="1:11" ht="31.5" customHeight="1" thickBot="1">
      <c r="A34" s="596" t="s">
        <v>688</v>
      </c>
      <c r="B34" s="596"/>
      <c r="C34" s="596"/>
      <c r="D34" s="596"/>
      <c r="E34" s="596"/>
      <c r="F34" s="8"/>
      <c r="G34" s="1"/>
      <c r="H34" s="1"/>
      <c r="I34" s="1"/>
      <c r="J34" s="1"/>
      <c r="K34" s="1"/>
    </row>
    <row r="35" spans="1:11" ht="15.75" thickBot="1">
      <c r="A35" s="4"/>
      <c r="B35" s="246" t="s">
        <v>381</v>
      </c>
      <c r="C35" s="7"/>
      <c r="D35" s="7"/>
      <c r="E35" s="7"/>
      <c r="F35" s="8"/>
      <c r="G35" s="1"/>
      <c r="H35" s="1"/>
      <c r="I35" s="1"/>
      <c r="J35" s="1"/>
      <c r="K35" s="1"/>
    </row>
    <row r="36" spans="1:11" ht="15">
      <c r="A36" s="48" t="s">
        <v>485</v>
      </c>
      <c r="B36" s="266">
        <v>3640</v>
      </c>
      <c r="C36" s="7"/>
      <c r="D36" s="7"/>
      <c r="E36" s="7"/>
      <c r="F36" s="8"/>
      <c r="G36" s="1"/>
      <c r="H36" s="1"/>
      <c r="I36" s="1"/>
      <c r="J36" s="1"/>
      <c r="K36" s="1"/>
    </row>
    <row r="37" spans="1:11" ht="15" thickBot="1">
      <c r="A37" s="48" t="s">
        <v>147</v>
      </c>
      <c r="B37" s="558"/>
      <c r="C37" s="1"/>
      <c r="D37" s="1"/>
      <c r="E37" s="1"/>
      <c r="F37" s="1"/>
      <c r="G37" s="1"/>
      <c r="H37" s="1"/>
      <c r="I37" s="1"/>
      <c r="J37" s="1"/>
      <c r="K37" s="1"/>
    </row>
    <row r="38" spans="1:2" ht="15.75" thickBot="1">
      <c r="A38" s="50" t="s">
        <v>598</v>
      </c>
      <c r="B38" s="247">
        <f>SUM(B36:B37)</f>
        <v>3640</v>
      </c>
    </row>
  </sheetData>
  <sheetProtection/>
  <mergeCells count="3">
    <mergeCell ref="A2:K2"/>
    <mergeCell ref="A28:F28"/>
    <mergeCell ref="A34:E34"/>
  </mergeCells>
  <printOptions/>
  <pageMargins left="0.7480314960629921" right="0.7480314960629921" top="0.5905511811023623" bottom="0.5905511811023623"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W45"/>
  <sheetViews>
    <sheetView zoomScalePageLayoutView="0" workbookViewId="0" topLeftCell="A1">
      <pane xSplit="1" ySplit="3" topLeftCell="B4" activePane="bottomRight" state="frozen"/>
      <selection pane="topLeft" activeCell="J8" sqref="J8"/>
      <selection pane="topRight" activeCell="J8" sqref="J8"/>
      <selection pane="bottomLeft" activeCell="J8" sqref="J8"/>
      <selection pane="bottomRight" activeCell="Q19" sqref="Q19"/>
    </sheetView>
  </sheetViews>
  <sheetFormatPr defaultColWidth="9.140625" defaultRowHeight="12.75" outlineLevelRow="1"/>
  <cols>
    <col min="1" max="1" width="38.28125" style="0" customWidth="1"/>
    <col min="2" max="2" width="11.28125" style="0" customWidth="1"/>
    <col min="3" max="3" width="12.00390625" style="0" customWidth="1"/>
    <col min="4" max="4" width="8.7109375" style="0" customWidth="1"/>
    <col min="5" max="5" width="9.140625" style="0" customWidth="1"/>
    <col min="6" max="6" width="9.8515625" style="0" customWidth="1"/>
    <col min="7" max="7" width="9.28125" style="0" customWidth="1"/>
    <col min="8" max="8" width="8.28125" style="0" customWidth="1"/>
    <col min="9" max="10" width="9.00390625" style="0" customWidth="1"/>
    <col min="11" max="11" width="9.28125" style="0" customWidth="1"/>
    <col min="12" max="12" width="8.421875" style="0" customWidth="1"/>
    <col min="13" max="13" width="6.57421875" style="0" customWidth="1"/>
    <col min="14" max="14" width="8.28125" style="0" customWidth="1"/>
    <col min="15" max="15" width="7.00390625" style="0" customWidth="1"/>
    <col min="16" max="17" width="9.421875" style="0" customWidth="1"/>
    <col min="18" max="18" width="10.421875" style="0" customWidth="1"/>
    <col min="19" max="19" width="8.28125" style="0" customWidth="1"/>
    <col min="20" max="20" width="8.57421875" style="0" customWidth="1"/>
    <col min="21" max="21" width="10.7109375" style="0" customWidth="1"/>
    <col min="22" max="22" width="7.7109375" style="0" customWidth="1"/>
  </cols>
  <sheetData>
    <row r="1" ht="12.75">
      <c r="I1" t="s">
        <v>37</v>
      </c>
    </row>
    <row r="2" spans="1:19" ht="12.75">
      <c r="A2" s="23" t="s">
        <v>899</v>
      </c>
      <c r="K2" s="106"/>
      <c r="N2" s="106"/>
      <c r="O2" s="106"/>
      <c r="P2" s="106"/>
      <c r="Q2" s="106"/>
      <c r="R2" s="106"/>
      <c r="S2" s="106"/>
    </row>
    <row r="3" spans="1:23" ht="108.75">
      <c r="A3" s="29"/>
      <c r="B3" s="30" t="s">
        <v>212</v>
      </c>
      <c r="C3" s="30" t="s">
        <v>971</v>
      </c>
      <c r="D3" s="30" t="s">
        <v>318</v>
      </c>
      <c r="E3" s="30" t="s">
        <v>319</v>
      </c>
      <c r="F3" s="30" t="s">
        <v>320</v>
      </c>
      <c r="G3" s="30" t="s">
        <v>317</v>
      </c>
      <c r="H3" s="30" t="s">
        <v>225</v>
      </c>
      <c r="I3" s="61" t="s">
        <v>335</v>
      </c>
      <c r="J3" s="61" t="s">
        <v>350</v>
      </c>
      <c r="K3" s="107" t="s">
        <v>0</v>
      </c>
      <c r="L3" s="31" t="s">
        <v>360</v>
      </c>
      <c r="M3" s="31" t="s">
        <v>955</v>
      </c>
      <c r="N3" s="30" t="s">
        <v>363</v>
      </c>
      <c r="O3" s="113" t="s">
        <v>604</v>
      </c>
      <c r="P3" s="113" t="s">
        <v>490</v>
      </c>
      <c r="Q3" s="113" t="s">
        <v>609</v>
      </c>
      <c r="R3" s="502" t="s">
        <v>720</v>
      </c>
      <c r="S3" s="190" t="s">
        <v>610</v>
      </c>
      <c r="T3" s="273" t="s">
        <v>611</v>
      </c>
      <c r="U3" s="274" t="s">
        <v>612</v>
      </c>
      <c r="V3" s="32" t="s">
        <v>213</v>
      </c>
      <c r="W3" s="46"/>
    </row>
    <row r="4" spans="1:23" ht="15">
      <c r="A4" s="33" t="s">
        <v>214</v>
      </c>
      <c r="B4" s="33">
        <f>B35-Q4-R4-P4-C4</f>
        <v>19265</v>
      </c>
      <c r="C4" s="33"/>
      <c r="D4" s="29"/>
      <c r="E4" s="29"/>
      <c r="F4" s="33"/>
      <c r="G4" s="33"/>
      <c r="H4" s="33"/>
      <c r="I4" s="33"/>
      <c r="J4" s="33"/>
      <c r="K4" s="65"/>
      <c r="L4" s="34"/>
      <c r="M4" s="551"/>
      <c r="N4" s="35"/>
      <c r="O4" s="112"/>
      <c r="P4" s="180">
        <f>B25</f>
        <v>2615</v>
      </c>
      <c r="Q4" s="73">
        <f>D24</f>
        <v>0</v>
      </c>
      <c r="R4" s="180">
        <f>B23</f>
        <v>300</v>
      </c>
      <c r="S4" s="180"/>
      <c r="T4" s="38"/>
      <c r="U4" s="35"/>
      <c r="V4" s="36">
        <f aca="true" t="shared" si="0" ref="V4:V14">SUM(B4:U4)</f>
        <v>22180</v>
      </c>
      <c r="W4" s="37"/>
    </row>
    <row r="5" spans="1:23" ht="15">
      <c r="A5" s="33" t="s">
        <v>215</v>
      </c>
      <c r="B5" s="33">
        <f>C35-M5-Q5-R5-P5-C5-U5</f>
        <v>120</v>
      </c>
      <c r="C5" s="33">
        <v>3552</v>
      </c>
      <c r="D5" s="20">
        <v>32879</v>
      </c>
      <c r="E5" s="29">
        <v>2876</v>
      </c>
      <c r="F5" s="33">
        <v>7053</v>
      </c>
      <c r="G5" s="33"/>
      <c r="H5" s="33"/>
      <c r="I5" s="33"/>
      <c r="J5" s="33"/>
      <c r="K5" s="33"/>
      <c r="L5" s="34"/>
      <c r="M5" s="551">
        <f>C27+C28</f>
        <v>6533</v>
      </c>
      <c r="N5" s="20"/>
      <c r="O5" s="73"/>
      <c r="P5" s="73">
        <f>C25</f>
        <v>1496</v>
      </c>
      <c r="Q5" s="73">
        <f>D24</f>
        <v>0</v>
      </c>
      <c r="R5" s="73">
        <f>C23</f>
        <v>800</v>
      </c>
      <c r="S5" s="73"/>
      <c r="T5" s="35"/>
      <c r="U5" s="276">
        <f>C20</f>
        <v>3208</v>
      </c>
      <c r="V5" s="36">
        <f t="shared" si="0"/>
        <v>58517</v>
      </c>
      <c r="W5" s="37"/>
    </row>
    <row r="6" spans="1:23" ht="15">
      <c r="A6" s="33" t="s">
        <v>216</v>
      </c>
      <c r="B6" s="73">
        <f>D35-Q6-P6-R6-M6</f>
        <v>0</v>
      </c>
      <c r="C6" s="73"/>
      <c r="D6" s="20"/>
      <c r="E6" s="29"/>
      <c r="F6" s="33"/>
      <c r="G6" s="33"/>
      <c r="H6" s="33"/>
      <c r="I6" s="33"/>
      <c r="J6" s="33"/>
      <c r="K6" s="33"/>
      <c r="L6" s="34"/>
      <c r="M6" s="551">
        <f>D28</f>
        <v>-3807</v>
      </c>
      <c r="N6" s="35"/>
      <c r="O6" s="73"/>
      <c r="P6" s="73">
        <f>D25</f>
        <v>3000</v>
      </c>
      <c r="Q6" s="73">
        <f>D24</f>
        <v>0</v>
      </c>
      <c r="R6" s="73"/>
      <c r="S6" s="73"/>
      <c r="T6" s="118"/>
      <c r="U6" s="35"/>
      <c r="V6" s="36">
        <f t="shared" si="0"/>
        <v>-807</v>
      </c>
      <c r="W6" s="37"/>
    </row>
    <row r="7" spans="1:23" ht="15">
      <c r="A7" s="71" t="s">
        <v>217</v>
      </c>
      <c r="B7" s="73">
        <f>F35-Q7-P7-R7-S7-T7-U7-O7-M7</f>
        <v>-21377</v>
      </c>
      <c r="C7" s="73"/>
      <c r="D7" s="20">
        <v>119072</v>
      </c>
      <c r="E7" s="125">
        <v>10172</v>
      </c>
      <c r="F7" s="71">
        <v>16643</v>
      </c>
      <c r="G7" s="33"/>
      <c r="H7" s="33"/>
      <c r="I7" s="33"/>
      <c r="J7" s="33"/>
      <c r="K7" s="33"/>
      <c r="L7" s="34"/>
      <c r="M7" s="551">
        <f>F27</f>
        <v>-2726</v>
      </c>
      <c r="N7" s="35"/>
      <c r="O7" s="73">
        <f>F29</f>
        <v>13</v>
      </c>
      <c r="P7" s="73">
        <f>F25</f>
        <v>1494</v>
      </c>
      <c r="Q7" s="73">
        <f>F24</f>
        <v>2611</v>
      </c>
      <c r="R7" s="73">
        <f>F23</f>
        <v>6315</v>
      </c>
      <c r="S7" s="73"/>
      <c r="T7" s="118">
        <f>F34</f>
        <v>0</v>
      </c>
      <c r="U7" s="35"/>
      <c r="V7" s="36">
        <f t="shared" si="0"/>
        <v>132217</v>
      </c>
      <c r="W7" s="37"/>
    </row>
    <row r="8" spans="1:23" ht="15">
      <c r="A8" s="33" t="s">
        <v>218</v>
      </c>
      <c r="B8" s="33">
        <f>G35-Q8-P8-R8</f>
        <v>0</v>
      </c>
      <c r="C8" s="33"/>
      <c r="D8" s="20"/>
      <c r="E8" s="29"/>
      <c r="F8" s="33"/>
      <c r="G8" s="33"/>
      <c r="H8" s="33"/>
      <c r="I8" s="33"/>
      <c r="J8" s="33"/>
      <c r="K8" s="33"/>
      <c r="L8" s="34"/>
      <c r="M8" s="34"/>
      <c r="N8" s="35"/>
      <c r="O8" s="73"/>
      <c r="P8" s="73">
        <f>G25</f>
        <v>1500</v>
      </c>
      <c r="Q8" s="73">
        <f>G24</f>
        <v>0</v>
      </c>
      <c r="R8" s="73">
        <f>G23</f>
        <v>500</v>
      </c>
      <c r="S8" s="73"/>
      <c r="T8" s="35"/>
      <c r="U8" s="35"/>
      <c r="V8" s="36">
        <f t="shared" si="0"/>
        <v>2000</v>
      </c>
      <c r="W8" s="37"/>
    </row>
    <row r="9" spans="1:23" ht="15">
      <c r="A9" s="33" t="s">
        <v>219</v>
      </c>
      <c r="B9" s="33">
        <f>E35-Q9-P9-C9-R9</f>
        <v>0</v>
      </c>
      <c r="C9" s="33">
        <f>E30</f>
        <v>0</v>
      </c>
      <c r="D9" s="20"/>
      <c r="E9" s="29"/>
      <c r="F9" s="33"/>
      <c r="G9" s="33"/>
      <c r="H9" s="33"/>
      <c r="I9" s="33"/>
      <c r="J9" s="33"/>
      <c r="K9" s="33"/>
      <c r="L9" s="34"/>
      <c r="M9" s="34"/>
      <c r="N9" s="35"/>
      <c r="O9" s="73"/>
      <c r="P9" s="73">
        <f>E25</f>
        <v>0</v>
      </c>
      <c r="Q9" s="73">
        <f>E24</f>
        <v>0</v>
      </c>
      <c r="R9" s="73"/>
      <c r="S9" s="73"/>
      <c r="T9" s="35"/>
      <c r="U9" s="20"/>
      <c r="V9" s="36">
        <f t="shared" si="0"/>
        <v>0</v>
      </c>
      <c r="W9" s="37"/>
    </row>
    <row r="10" spans="1:23" ht="15">
      <c r="A10" s="33" t="s">
        <v>220</v>
      </c>
      <c r="B10" s="33">
        <f>H35-Q10-P10-S10-R10-U10</f>
        <v>4228</v>
      </c>
      <c r="C10" s="33"/>
      <c r="D10" s="20">
        <v>151730</v>
      </c>
      <c r="E10" s="283">
        <v>7185</v>
      </c>
      <c r="F10" s="33">
        <f>17447+313</f>
        <v>17760</v>
      </c>
      <c r="G10" s="33"/>
      <c r="H10" s="33"/>
      <c r="I10" s="33"/>
      <c r="J10" s="33"/>
      <c r="K10" s="77"/>
      <c r="L10" s="34"/>
      <c r="M10" s="34"/>
      <c r="N10" s="33"/>
      <c r="O10" s="73"/>
      <c r="P10" s="73">
        <f>H25</f>
        <v>5968</v>
      </c>
      <c r="Q10" s="73">
        <f>H24</f>
        <v>0</v>
      </c>
      <c r="R10" s="73"/>
      <c r="S10" s="73"/>
      <c r="T10" s="118"/>
      <c r="U10" s="35"/>
      <c r="V10" s="36">
        <f t="shared" si="0"/>
        <v>186871</v>
      </c>
      <c r="W10" s="37"/>
    </row>
    <row r="11" spans="1:23" ht="15">
      <c r="A11" s="33" t="s">
        <v>606</v>
      </c>
      <c r="B11" s="33">
        <f>I35-N11-Q11</f>
        <v>0</v>
      </c>
      <c r="C11" s="33"/>
      <c r="D11" s="20"/>
      <c r="E11" s="29"/>
      <c r="F11" s="33"/>
      <c r="G11" s="33"/>
      <c r="H11" s="33"/>
      <c r="I11" s="33"/>
      <c r="J11" s="33"/>
      <c r="K11" s="77"/>
      <c r="L11" s="34"/>
      <c r="M11" s="34"/>
      <c r="N11" s="33">
        <f>I19+I30+I32</f>
        <v>82800</v>
      </c>
      <c r="O11" s="73"/>
      <c r="P11" s="73"/>
      <c r="Q11" s="73"/>
      <c r="R11" s="73"/>
      <c r="S11" s="73"/>
      <c r="T11" s="118"/>
      <c r="U11" s="35"/>
      <c r="V11" s="36">
        <f t="shared" si="0"/>
        <v>82800</v>
      </c>
      <c r="W11" s="37"/>
    </row>
    <row r="12" spans="1:23" ht="15">
      <c r="A12" s="33" t="s">
        <v>356</v>
      </c>
      <c r="B12" s="33">
        <f>K35</f>
        <v>0</v>
      </c>
      <c r="C12" s="33"/>
      <c r="D12" s="20"/>
      <c r="E12" s="29"/>
      <c r="F12" s="33"/>
      <c r="G12" s="33"/>
      <c r="H12" s="33"/>
      <c r="I12" s="33"/>
      <c r="J12" s="33"/>
      <c r="K12" s="33"/>
      <c r="L12" s="34"/>
      <c r="M12" s="34"/>
      <c r="N12" s="33"/>
      <c r="O12" s="20"/>
      <c r="P12" s="20"/>
      <c r="Q12" s="20"/>
      <c r="R12" s="20"/>
      <c r="S12" s="20"/>
      <c r="T12" s="118"/>
      <c r="U12" s="35"/>
      <c r="V12" s="36">
        <f t="shared" si="0"/>
        <v>0</v>
      </c>
      <c r="W12" s="37"/>
    </row>
    <row r="13" spans="1:23" ht="15">
      <c r="A13" s="33" t="s">
        <v>221</v>
      </c>
      <c r="B13" s="33">
        <f>J35-Q13-R13-P13</f>
        <v>107</v>
      </c>
      <c r="C13" s="33"/>
      <c r="D13" s="20">
        <v>54783</v>
      </c>
      <c r="E13" s="29">
        <v>4359</v>
      </c>
      <c r="F13" s="33">
        <v>5567</v>
      </c>
      <c r="G13" s="33"/>
      <c r="H13" s="33"/>
      <c r="I13" s="33"/>
      <c r="J13" s="33"/>
      <c r="K13" s="33"/>
      <c r="L13" s="35"/>
      <c r="M13" s="35"/>
      <c r="N13" s="35"/>
      <c r="O13" s="73"/>
      <c r="P13" s="73">
        <f>J25</f>
        <v>4287</v>
      </c>
      <c r="Q13" s="73">
        <f>J24</f>
        <v>0</v>
      </c>
      <c r="R13" s="73">
        <f>J23</f>
        <v>1000</v>
      </c>
      <c r="S13" s="73"/>
      <c r="T13" s="35"/>
      <c r="U13" s="35"/>
      <c r="V13" s="36">
        <f t="shared" si="0"/>
        <v>70103</v>
      </c>
      <c r="W13" s="37"/>
    </row>
    <row r="14" spans="1:23" ht="12.75">
      <c r="A14" s="29" t="s">
        <v>222</v>
      </c>
      <c r="B14" s="39">
        <f>SUM(B4:B13)</f>
        <v>2343</v>
      </c>
      <c r="C14" s="39">
        <f>SUM(C4:C13)</f>
        <v>3552</v>
      </c>
      <c r="D14" s="39">
        <f aca="true" t="shared" si="1" ref="D14:U14">SUM(D4:D13)</f>
        <v>358464</v>
      </c>
      <c r="E14" s="39">
        <f t="shared" si="1"/>
        <v>24592</v>
      </c>
      <c r="F14" s="39">
        <f t="shared" si="1"/>
        <v>47023</v>
      </c>
      <c r="G14" s="39">
        <f t="shared" si="1"/>
        <v>0</v>
      </c>
      <c r="H14" s="39">
        <f>SUM(H4:H13)</f>
        <v>0</v>
      </c>
      <c r="I14" s="39">
        <f>SUM(I4:I13)</f>
        <v>0</v>
      </c>
      <c r="J14" s="39">
        <f>SUM(J4:J13)</f>
        <v>0</v>
      </c>
      <c r="K14" s="39">
        <f t="shared" si="1"/>
        <v>0</v>
      </c>
      <c r="L14" s="39">
        <f t="shared" si="1"/>
        <v>0</v>
      </c>
      <c r="M14" s="39">
        <f t="shared" si="1"/>
        <v>0</v>
      </c>
      <c r="N14" s="39">
        <f t="shared" si="1"/>
        <v>82800</v>
      </c>
      <c r="O14" s="39">
        <f t="shared" si="1"/>
        <v>13</v>
      </c>
      <c r="P14" s="39">
        <f t="shared" si="1"/>
        <v>20360</v>
      </c>
      <c r="Q14" s="39">
        <f t="shared" si="1"/>
        <v>2611</v>
      </c>
      <c r="R14" s="39">
        <f t="shared" si="1"/>
        <v>8915</v>
      </c>
      <c r="S14" s="39">
        <f t="shared" si="1"/>
        <v>0</v>
      </c>
      <c r="T14" s="39">
        <f t="shared" si="1"/>
        <v>0</v>
      </c>
      <c r="U14" s="39">
        <f t="shared" si="1"/>
        <v>3208</v>
      </c>
      <c r="V14" s="36">
        <f t="shared" si="0"/>
        <v>553881</v>
      </c>
      <c r="W14" s="37"/>
    </row>
    <row r="15" ht="12.75">
      <c r="A15" t="s">
        <v>223</v>
      </c>
    </row>
    <row r="16" spans="1:14" ht="60">
      <c r="A16" s="40" t="s">
        <v>324</v>
      </c>
      <c r="B16" s="40" t="s">
        <v>214</v>
      </c>
      <c r="C16" s="40" t="s">
        <v>215</v>
      </c>
      <c r="D16" s="40" t="s">
        <v>216</v>
      </c>
      <c r="E16" s="40" t="s">
        <v>219</v>
      </c>
      <c r="F16" s="40" t="s">
        <v>217</v>
      </c>
      <c r="G16" s="40" t="s">
        <v>218</v>
      </c>
      <c r="H16" s="40" t="s">
        <v>220</v>
      </c>
      <c r="I16" s="40" t="s">
        <v>464</v>
      </c>
      <c r="J16" s="40" t="s">
        <v>221</v>
      </c>
      <c r="K16" s="40" t="s">
        <v>353</v>
      </c>
      <c r="N16" s="12"/>
    </row>
    <row r="17" spans="1:19" ht="45">
      <c r="A17" s="66" t="s">
        <v>608</v>
      </c>
      <c r="B17" s="243"/>
      <c r="C17" s="40"/>
      <c r="D17" s="40"/>
      <c r="E17" s="40"/>
      <c r="F17" s="40"/>
      <c r="G17" s="40"/>
      <c r="H17" s="40">
        <v>1247</v>
      </c>
      <c r="I17" s="40"/>
      <c r="J17" s="40"/>
      <c r="K17" s="40"/>
      <c r="L17" s="23"/>
      <c r="M17" s="23"/>
      <c r="S17" s="23"/>
    </row>
    <row r="18" spans="1:19" ht="30">
      <c r="A18" s="529" t="s">
        <v>877</v>
      </c>
      <c r="B18" s="243"/>
      <c r="C18" s="40"/>
      <c r="D18" s="40"/>
      <c r="E18" s="40"/>
      <c r="F18" s="40"/>
      <c r="G18" s="40"/>
      <c r="H18" s="40">
        <v>298</v>
      </c>
      <c r="I18" s="40"/>
      <c r="J18" s="40"/>
      <c r="K18" s="40"/>
      <c r="L18" s="23"/>
      <c r="M18" s="23"/>
      <c r="S18" s="23"/>
    </row>
    <row r="19" spans="1:19" ht="30">
      <c r="A19" s="66" t="s">
        <v>700</v>
      </c>
      <c r="B19" s="40"/>
      <c r="C19" s="40"/>
      <c r="D19" s="40"/>
      <c r="E19" s="40"/>
      <c r="F19" s="40"/>
      <c r="G19" s="40"/>
      <c r="H19" s="40"/>
      <c r="I19" s="40">
        <v>-363</v>
      </c>
      <c r="J19" s="40"/>
      <c r="K19" s="40"/>
      <c r="L19" s="23"/>
      <c r="M19" s="23"/>
      <c r="S19" s="23"/>
    </row>
    <row r="20" spans="1:11" ht="30">
      <c r="A20" s="274" t="s">
        <v>718</v>
      </c>
      <c r="B20" s="271"/>
      <c r="C20" s="40">
        <v>3208</v>
      </c>
      <c r="D20" s="40"/>
      <c r="E20" s="40"/>
      <c r="F20" s="40"/>
      <c r="G20" s="40"/>
      <c r="H20" s="40"/>
      <c r="I20" s="40"/>
      <c r="J20" s="40"/>
      <c r="K20" s="40"/>
    </row>
    <row r="21" spans="1:11" ht="45">
      <c r="A21" s="66" t="s">
        <v>704</v>
      </c>
      <c r="B21" s="40"/>
      <c r="C21" s="40"/>
      <c r="D21" s="40"/>
      <c r="E21" s="40"/>
      <c r="F21" s="40">
        <v>7733</v>
      </c>
      <c r="G21" s="40"/>
      <c r="H21" s="40"/>
      <c r="I21" s="40"/>
      <c r="J21" s="40"/>
      <c r="K21" s="40"/>
    </row>
    <row r="22" spans="1:11" ht="30">
      <c r="A22" s="66" t="s">
        <v>567</v>
      </c>
      <c r="B22" s="40"/>
      <c r="C22" s="40"/>
      <c r="D22" s="40"/>
      <c r="E22" s="40"/>
      <c r="F22" s="245">
        <v>198</v>
      </c>
      <c r="G22" s="40"/>
      <c r="H22" s="40"/>
      <c r="I22" s="40"/>
      <c r="J22" s="40"/>
      <c r="K22" s="40"/>
    </row>
    <row r="23" spans="1:13" ht="45">
      <c r="A23" s="245" t="s">
        <v>720</v>
      </c>
      <c r="B23" s="40">
        <v>300</v>
      </c>
      <c r="C23" s="40">
        <v>800</v>
      </c>
      <c r="D23" s="40"/>
      <c r="E23" s="40"/>
      <c r="F23" s="40">
        <v>6315</v>
      </c>
      <c r="G23" s="40">
        <v>500</v>
      </c>
      <c r="H23" s="40"/>
      <c r="I23" s="40"/>
      <c r="J23" s="40">
        <v>1000</v>
      </c>
      <c r="K23" s="40"/>
      <c r="L23" s="111"/>
      <c r="M23" s="111"/>
    </row>
    <row r="24" spans="1:15" ht="15">
      <c r="A24" s="275" t="s">
        <v>719</v>
      </c>
      <c r="B24" s="40"/>
      <c r="C24" s="40"/>
      <c r="D24" s="40"/>
      <c r="E24" s="40"/>
      <c r="F24" s="245">
        <v>2611</v>
      </c>
      <c r="G24" s="40"/>
      <c r="H24" s="40"/>
      <c r="I24" s="40"/>
      <c r="J24" s="40"/>
      <c r="K24" s="40"/>
      <c r="L24" s="23"/>
      <c r="M24" s="23"/>
      <c r="N24" s="547"/>
      <c r="O24" s="547"/>
    </row>
    <row r="25" spans="1:11" ht="30">
      <c r="A25" s="120" t="s">
        <v>582</v>
      </c>
      <c r="B25" s="40">
        <v>2615</v>
      </c>
      <c r="C25" s="40">
        <v>1496</v>
      </c>
      <c r="D25" s="40">
        <v>3000</v>
      </c>
      <c r="E25" s="40"/>
      <c r="F25" s="40">
        <v>1494</v>
      </c>
      <c r="G25" s="40">
        <v>1500</v>
      </c>
      <c r="H25" s="40">
        <v>5968</v>
      </c>
      <c r="I25" s="40"/>
      <c r="J25" s="40">
        <f>4420-133</f>
        <v>4287</v>
      </c>
      <c r="K25" s="40"/>
    </row>
    <row r="26" spans="1:11" ht="30">
      <c r="A26" s="504" t="s">
        <v>733</v>
      </c>
      <c r="B26" s="559">
        <v>19265</v>
      </c>
      <c r="C26" s="269"/>
      <c r="D26" s="124"/>
      <c r="E26" s="124"/>
      <c r="F26" s="245">
        <v>-29568</v>
      </c>
      <c r="G26" s="40"/>
      <c r="H26" s="40"/>
      <c r="I26" s="40"/>
      <c r="J26" s="40"/>
      <c r="K26" s="40"/>
    </row>
    <row r="27" spans="1:11" ht="15">
      <c r="A27" s="284" t="s">
        <v>741</v>
      </c>
      <c r="B27" s="503"/>
      <c r="C27" s="505">
        <v>2726</v>
      </c>
      <c r="D27" s="245"/>
      <c r="E27" s="245"/>
      <c r="F27" s="245">
        <v>-2726</v>
      </c>
      <c r="G27" s="40"/>
      <c r="H27" s="40"/>
      <c r="I27" s="40"/>
      <c r="J27" s="40"/>
      <c r="K27" s="40"/>
    </row>
    <row r="28" spans="1:11" ht="15">
      <c r="A28" s="284" t="s">
        <v>742</v>
      </c>
      <c r="B28" s="503"/>
      <c r="C28" s="506">
        <v>3807</v>
      </c>
      <c r="D28" s="245">
        <v>-3807</v>
      </c>
      <c r="E28" s="245"/>
      <c r="F28" s="245"/>
      <c r="G28" s="40"/>
      <c r="H28" s="40"/>
      <c r="I28" s="40"/>
      <c r="J28" s="40"/>
      <c r="K28" s="40"/>
    </row>
    <row r="29" spans="1:11" ht="30">
      <c r="A29" s="508" t="s">
        <v>743</v>
      </c>
      <c r="B29" s="503"/>
      <c r="C29" s="507"/>
      <c r="D29" s="245"/>
      <c r="E29" s="245"/>
      <c r="F29" s="245">
        <v>13</v>
      </c>
      <c r="G29" s="40"/>
      <c r="H29" s="40"/>
      <c r="I29" s="40"/>
      <c r="J29" s="40">
        <v>-13</v>
      </c>
      <c r="K29" s="40"/>
    </row>
    <row r="30" spans="1:11" ht="15">
      <c r="A30" s="40" t="s">
        <v>781</v>
      </c>
      <c r="B30" s="245"/>
      <c r="C30" s="271"/>
      <c r="D30" s="40"/>
      <c r="E30" s="40"/>
      <c r="F30" s="40"/>
      <c r="G30" s="40"/>
      <c r="H30" s="40"/>
      <c r="I30" s="245">
        <v>83043</v>
      </c>
      <c r="J30" s="40"/>
      <c r="K30" s="40"/>
    </row>
    <row r="31" spans="1:11" ht="19.5" customHeight="1">
      <c r="A31" s="40" t="s">
        <v>782</v>
      </c>
      <c r="B31" s="245"/>
      <c r="C31" s="271"/>
      <c r="D31" s="40"/>
      <c r="E31" s="40"/>
      <c r="F31" s="40"/>
      <c r="G31" s="40"/>
      <c r="H31" s="40">
        <v>2353</v>
      </c>
      <c r="I31" s="40"/>
      <c r="J31" s="40"/>
      <c r="K31" s="40"/>
    </row>
    <row r="32" spans="1:11" ht="45">
      <c r="A32" s="40" t="s">
        <v>773</v>
      </c>
      <c r="B32" s="245"/>
      <c r="C32" s="286">
        <v>120</v>
      </c>
      <c r="D32" s="40"/>
      <c r="E32" s="40"/>
      <c r="F32" s="40">
        <v>260</v>
      </c>
      <c r="G32" s="40"/>
      <c r="H32" s="40">
        <v>330</v>
      </c>
      <c r="I32" s="40">
        <v>120</v>
      </c>
      <c r="J32" s="40">
        <v>120</v>
      </c>
      <c r="K32" s="40"/>
    </row>
    <row r="33" spans="1:11" ht="15">
      <c r="A33" s="66" t="s">
        <v>855</v>
      </c>
      <c r="B33" s="40"/>
      <c r="C33" s="286">
        <v>3552</v>
      </c>
      <c r="D33" s="40"/>
      <c r="E33" s="40"/>
      <c r="F33" s="40"/>
      <c r="G33" s="40"/>
      <c r="H33" s="40"/>
      <c r="I33" s="40"/>
      <c r="J33" s="245"/>
      <c r="K33" s="40"/>
    </row>
    <row r="34" spans="1:14" ht="15" customHeight="1" outlineLevel="1">
      <c r="A34" s="272"/>
      <c r="B34" s="272"/>
      <c r="C34" s="270"/>
      <c r="D34" s="33"/>
      <c r="E34" s="33"/>
      <c r="F34" s="33"/>
      <c r="G34" s="104"/>
      <c r="H34" s="77"/>
      <c r="I34" s="77"/>
      <c r="J34" s="33"/>
      <c r="K34" s="33"/>
      <c r="N34" s="13"/>
    </row>
    <row r="35" spans="1:14" ht="15">
      <c r="A35" s="44" t="s">
        <v>213</v>
      </c>
      <c r="B35" s="43">
        <f>SUM(B17:B34)</f>
        <v>22180</v>
      </c>
      <c r="C35" s="43">
        <f>SUM(C17:C34)</f>
        <v>15709</v>
      </c>
      <c r="D35" s="43">
        <f aca="true" t="shared" si="2" ref="D35:K35">SUM(D17:D34)</f>
        <v>-807</v>
      </c>
      <c r="E35" s="43">
        <f t="shared" si="2"/>
        <v>0</v>
      </c>
      <c r="F35" s="43">
        <f>SUM(F17:F34)</f>
        <v>-13670</v>
      </c>
      <c r="G35" s="43">
        <f t="shared" si="2"/>
        <v>2000</v>
      </c>
      <c r="H35" s="43">
        <f>SUM(H17:H34)</f>
        <v>10196</v>
      </c>
      <c r="I35" s="43">
        <f>SUM(I17:I34)</f>
        <v>82800</v>
      </c>
      <c r="J35" s="43">
        <f t="shared" si="2"/>
        <v>5394</v>
      </c>
      <c r="K35" s="43">
        <f t="shared" si="2"/>
        <v>0</v>
      </c>
      <c r="N35" s="13"/>
    </row>
    <row r="36" ht="15">
      <c r="F36" s="56"/>
    </row>
    <row r="38" spans="12:19" ht="12.75">
      <c r="L38" s="45"/>
      <c r="M38" s="45"/>
      <c r="S38" s="54"/>
    </row>
    <row r="39" ht="12.75">
      <c r="S39" s="54"/>
    </row>
    <row r="40" ht="12.75">
      <c r="S40" s="54"/>
    </row>
    <row r="41" ht="12.75">
      <c r="S41" s="54"/>
    </row>
    <row r="42" ht="12.75">
      <c r="S42" s="54"/>
    </row>
    <row r="43" ht="12.75">
      <c r="S43" s="54"/>
    </row>
    <row r="44" ht="12.75">
      <c r="S44" s="54"/>
    </row>
    <row r="45" ht="12.75">
      <c r="S45" s="54"/>
    </row>
  </sheetData>
  <sheetProtection/>
  <printOptions/>
  <pageMargins left="0" right="0" top="0.5905511811023623" bottom="0.5905511811023623" header="0.5118110236220472" footer="0.5118110236220472"/>
  <pageSetup fitToHeight="0"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68"/>
  <sheetViews>
    <sheetView zoomScale="115" zoomScaleNormal="115" zoomScalePageLayoutView="0" workbookViewId="0" topLeftCell="A1">
      <selection activeCell="F27" sqref="F27"/>
    </sheetView>
  </sheetViews>
  <sheetFormatPr defaultColWidth="9.140625" defaultRowHeight="12.75"/>
  <cols>
    <col min="1" max="1" width="9.140625" style="45" customWidth="1"/>
  </cols>
  <sheetData>
    <row r="1" ht="12.75">
      <c r="A1" s="45">
        <v>160698</v>
      </c>
    </row>
    <row r="2" ht="12.75">
      <c r="A2" s="45">
        <v>45788</v>
      </c>
    </row>
    <row r="3" ht="12.75">
      <c r="A3" s="45">
        <v>23648</v>
      </c>
    </row>
    <row r="4" ht="12.75">
      <c r="A4" s="45">
        <v>49835</v>
      </c>
    </row>
    <row r="5" ht="12.75">
      <c r="A5" s="45">
        <v>56534</v>
      </c>
    </row>
    <row r="6" ht="12.75">
      <c r="A6" s="45">
        <v>57063</v>
      </c>
    </row>
    <row r="7" ht="12.75">
      <c r="A7" s="45">
        <v>3356</v>
      </c>
    </row>
    <row r="8" ht="12.75">
      <c r="A8" s="45">
        <v>108138</v>
      </c>
    </row>
    <row r="9" ht="12.75">
      <c r="A9" s="45">
        <v>4040</v>
      </c>
    </row>
    <row r="10" ht="12.75">
      <c r="A10" s="45">
        <v>2500</v>
      </c>
    </row>
    <row r="11" ht="12.75">
      <c r="A11" s="45">
        <v>31568</v>
      </c>
    </row>
    <row r="12" ht="12.75">
      <c r="A12" s="45">
        <v>1364</v>
      </c>
    </row>
    <row r="13" ht="12.75">
      <c r="A13" s="45">
        <v>142212</v>
      </c>
    </row>
    <row r="14" ht="12.75">
      <c r="A14" s="45">
        <v>2404</v>
      </c>
    </row>
    <row r="15" ht="12.75">
      <c r="A15" s="45">
        <v>3288</v>
      </c>
    </row>
    <row r="16" ht="12.75">
      <c r="A16" s="45">
        <v>2096</v>
      </c>
    </row>
    <row r="17" ht="12.75">
      <c r="A17" s="45">
        <v>77205</v>
      </c>
    </row>
    <row r="18" ht="12.75">
      <c r="A18" s="45">
        <v>5748</v>
      </c>
    </row>
    <row r="19" ht="12.75">
      <c r="A19" s="45">
        <v>36443</v>
      </c>
    </row>
    <row r="20" ht="12.75">
      <c r="A20" s="45">
        <v>2812</v>
      </c>
    </row>
    <row r="21" ht="12.75">
      <c r="A21" s="45">
        <v>48258</v>
      </c>
    </row>
    <row r="22" ht="12.75">
      <c r="A22" s="45">
        <v>21235</v>
      </c>
    </row>
    <row r="23" ht="12.75">
      <c r="A23" s="45">
        <v>45116</v>
      </c>
    </row>
    <row r="24" ht="12.75">
      <c r="A24" s="45">
        <v>6764</v>
      </c>
    </row>
    <row r="25" ht="12.75">
      <c r="A25" s="45">
        <v>20313</v>
      </c>
    </row>
    <row r="26" ht="12.75">
      <c r="A26" s="45">
        <v>43020</v>
      </c>
    </row>
    <row r="27" ht="12.75">
      <c r="A27" s="45">
        <v>35144</v>
      </c>
    </row>
    <row r="28" ht="12.75">
      <c r="A28" s="45">
        <v>41748</v>
      </c>
    </row>
    <row r="29" ht="12.75">
      <c r="A29" s="45">
        <v>42664</v>
      </c>
    </row>
    <row r="30" ht="12.75">
      <c r="A30" s="45">
        <v>44100</v>
      </c>
    </row>
    <row r="31" ht="12.75">
      <c r="A31" s="45">
        <v>39428</v>
      </c>
    </row>
    <row r="32" ht="12.75">
      <c r="A32" s="45">
        <v>64720</v>
      </c>
    </row>
    <row r="33" ht="12.75">
      <c r="A33" s="45">
        <v>27808</v>
      </c>
    </row>
    <row r="34" ht="12.75">
      <c r="A34" s="45">
        <v>22012</v>
      </c>
    </row>
    <row r="35" ht="12.75">
      <c r="A35" s="45">
        <v>2600</v>
      </c>
    </row>
    <row r="36" ht="12.75">
      <c r="A36" s="45">
        <v>4800</v>
      </c>
    </row>
    <row r="37" ht="12.75">
      <c r="A37" s="45">
        <v>1424</v>
      </c>
    </row>
    <row r="38" ht="12.75">
      <c r="A38" s="45">
        <v>10392</v>
      </c>
    </row>
    <row r="39" ht="12.75">
      <c r="A39" s="45">
        <v>12104</v>
      </c>
    </row>
    <row r="40" ht="12.75">
      <c r="A40" s="45">
        <v>17244</v>
      </c>
    </row>
    <row r="41" ht="12.75">
      <c r="A41" s="45">
        <v>5072</v>
      </c>
    </row>
    <row r="42" ht="12.75">
      <c r="A42" s="45">
        <v>32984</v>
      </c>
    </row>
    <row r="43" ht="12.75">
      <c r="A43" s="45">
        <v>5090</v>
      </c>
    </row>
    <row r="44" ht="12.75">
      <c r="A44" s="45">
        <v>7107</v>
      </c>
    </row>
    <row r="45" ht="12.75">
      <c r="A45" s="45">
        <v>12988</v>
      </c>
    </row>
    <row r="46" ht="12.75">
      <c r="A46" s="45">
        <v>979</v>
      </c>
    </row>
    <row r="47" ht="12.75">
      <c r="A47" s="45">
        <v>68568</v>
      </c>
    </row>
    <row r="48" ht="12.75">
      <c r="A48" s="45">
        <v>64600</v>
      </c>
    </row>
    <row r="49" ht="12.75">
      <c r="A49" s="45">
        <v>868</v>
      </c>
    </row>
    <row r="50" ht="12.75">
      <c r="A50" s="45">
        <v>7028</v>
      </c>
    </row>
    <row r="51" ht="12.75">
      <c r="A51" s="45">
        <v>12988</v>
      </c>
    </row>
    <row r="52" ht="12.75">
      <c r="A52" s="45">
        <v>18761</v>
      </c>
    </row>
    <row r="53" ht="12.75">
      <c r="A53" s="45">
        <v>8419</v>
      </c>
    </row>
    <row r="54" ht="12.75">
      <c r="A54" s="45">
        <v>49610</v>
      </c>
    </row>
    <row r="55" ht="12.75">
      <c r="A55" s="45">
        <v>40886</v>
      </c>
    </row>
    <row r="56" ht="12.75">
      <c r="A56" s="45">
        <v>22193</v>
      </c>
    </row>
    <row r="57" ht="12.75">
      <c r="A57" s="45">
        <v>5433</v>
      </c>
    </row>
    <row r="58" ht="12.75">
      <c r="A58" s="45">
        <v>2878</v>
      </c>
    </row>
    <row r="59" ht="12.75">
      <c r="A59" s="45">
        <v>924390</v>
      </c>
    </row>
    <row r="60" ht="12.75">
      <c r="A60" s="45">
        <v>3954</v>
      </c>
    </row>
    <row r="61" ht="12.75">
      <c r="A61" s="45">
        <v>3300</v>
      </c>
    </row>
    <row r="62" ht="12.75">
      <c r="A62" s="45">
        <v>7200</v>
      </c>
    </row>
    <row r="63" ht="12.75">
      <c r="A63" s="45">
        <v>4082</v>
      </c>
    </row>
    <row r="64" ht="12.75">
      <c r="A64" s="45">
        <v>1112557</v>
      </c>
    </row>
    <row r="65" ht="12.75">
      <c r="A65" s="45">
        <v>4001</v>
      </c>
    </row>
    <row r="66" ht="12.75">
      <c r="A66" s="45">
        <v>15845</v>
      </c>
    </row>
    <row r="67" ht="12.75">
      <c r="A67" s="45">
        <v>2575</v>
      </c>
    </row>
    <row r="68" ht="12.75">
      <c r="A68" s="183">
        <f>SUM(A1:A67)</f>
        <v>3811990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Ogres novada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 Velberga</dc:creator>
  <cp:keywords/>
  <dc:description/>
  <cp:lastModifiedBy>Santa Hermane</cp:lastModifiedBy>
  <cp:lastPrinted>2020-10-12T10:33:07Z</cp:lastPrinted>
  <dcterms:created xsi:type="dcterms:W3CDTF">2006-04-20T10:34:24Z</dcterms:created>
  <dcterms:modified xsi:type="dcterms:W3CDTF">2020-10-16T06:36:37Z</dcterms:modified>
  <cp:category/>
  <cp:version/>
  <cp:contentType/>
  <cp:contentStatus/>
</cp:coreProperties>
</file>