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Pielik.Nr1_Ieņēmimi" sheetId="1" r:id="rId1"/>
    <sheet name="Pielik.Nr2_Izdevumi " sheetId="2" r:id="rId2"/>
    <sheet name="Iekšējie transferti" sheetId="3" r:id="rId3"/>
    <sheet name="Sheet1" sheetId="4" r:id="rId4"/>
    <sheet name="Sheet2" sheetId="5" r:id="rId5"/>
    <sheet name="Sheet3" sheetId="6" r:id="rId6"/>
  </sheets>
  <definedNames>
    <definedName name="_xlnm.Print_Titles" localSheetId="0">'Pielik.Nr1_Ieņēmimi'!$7:$7</definedName>
  </definedNames>
  <calcPr fullCalcOnLoad="1"/>
</workbook>
</file>

<file path=xl/sharedStrings.xml><?xml version="1.0" encoding="utf-8"?>
<sst xmlns="http://schemas.openxmlformats.org/spreadsheetml/2006/main" count="846" uniqueCount="706">
  <si>
    <t>Izglītība</t>
  </si>
  <si>
    <t>04.000</t>
  </si>
  <si>
    <t>05.200</t>
  </si>
  <si>
    <t>06.000</t>
  </si>
  <si>
    <t>07.000</t>
  </si>
  <si>
    <t>Kultūra</t>
  </si>
  <si>
    <t>08.000</t>
  </si>
  <si>
    <t>10.000</t>
  </si>
  <si>
    <t>Sporta centrs</t>
  </si>
  <si>
    <t>Kods</t>
  </si>
  <si>
    <t>Pielikums Nr.1</t>
  </si>
  <si>
    <t>4.1.1.0.</t>
  </si>
  <si>
    <t>4.1.2.0.</t>
  </si>
  <si>
    <t>5.4.1.0.</t>
  </si>
  <si>
    <t>Pašvaldību nodevas</t>
  </si>
  <si>
    <t>9.5.0.0.</t>
  </si>
  <si>
    <t>05.000</t>
  </si>
  <si>
    <t>Pabalsts maznodrošinātām ģimenēm</t>
  </si>
  <si>
    <t>Pašvaldības policija</t>
  </si>
  <si>
    <t>Kopā izdevumi:</t>
  </si>
  <si>
    <t>S.Velberga</t>
  </si>
  <si>
    <t>Nodokļu ieņēmumi</t>
  </si>
  <si>
    <t>1.1.1.0.</t>
  </si>
  <si>
    <t>1.1.1.1.</t>
  </si>
  <si>
    <t>1.1.1.2.</t>
  </si>
  <si>
    <t>4.1.0.0.</t>
  </si>
  <si>
    <t>Nekustamā īpašuma nodoklis</t>
  </si>
  <si>
    <t>Nekustamā īpašuma nodoklis par zemi</t>
  </si>
  <si>
    <t xml:space="preserve">Nekustamā īpašuma nodoklis par ēkām </t>
  </si>
  <si>
    <t>Azartspēļu nodoklis</t>
  </si>
  <si>
    <t>Nenodokļu ieņēmumi</t>
  </si>
  <si>
    <t>9.4.0.0.</t>
  </si>
  <si>
    <t>Valsts nodevas, kuras ieskaita pašvaldību budžetā</t>
  </si>
  <si>
    <t>Pārējie nenodokļu ieņēmumi</t>
  </si>
  <si>
    <t>18.0.0.0.</t>
  </si>
  <si>
    <t>Valsts budžeta transferti</t>
  </si>
  <si>
    <t>19.0.0.0.</t>
  </si>
  <si>
    <t>Pašvaldību budžetu transferti</t>
  </si>
  <si>
    <t>19.2.0.0.</t>
  </si>
  <si>
    <t>19.3.0.0.</t>
  </si>
  <si>
    <t>21.0.0.0.</t>
  </si>
  <si>
    <t>Budžeta iestāžu ieņēmumi</t>
  </si>
  <si>
    <t>21.3.0.0.</t>
  </si>
  <si>
    <t>21.3.8.0.</t>
  </si>
  <si>
    <t>Ieņēmumi par nomu un īri</t>
  </si>
  <si>
    <t>21.3.9.0.</t>
  </si>
  <si>
    <t>Ieņēmumi par pārējiem budžeta iestāžu maksas pakalpojumiem</t>
  </si>
  <si>
    <t>KOPĀ IEŅĒMUMI</t>
  </si>
  <si>
    <t>Kopā ar kredītresursiem:</t>
  </si>
  <si>
    <t>Kopā ar budžeta atlikumu</t>
  </si>
  <si>
    <t>Pielikums Nr.2</t>
  </si>
  <si>
    <t>01.000</t>
  </si>
  <si>
    <t>Vispārējie valdības dienesti</t>
  </si>
  <si>
    <t>01.720</t>
  </si>
  <si>
    <t>Pašvaldību budžetu parāda darījumi</t>
  </si>
  <si>
    <t>01.721</t>
  </si>
  <si>
    <t xml:space="preserve">       Pašvaldību budžetu valsts iekšējā parāda darījumi</t>
  </si>
  <si>
    <t>01.830</t>
  </si>
  <si>
    <t>Vispārēja rakstura transferti no pašvaldību budžeta pašvaldību budžetam</t>
  </si>
  <si>
    <t xml:space="preserve">       Norēķini ar citu pašvaldību izglītības iestādēm</t>
  </si>
  <si>
    <t>01.890</t>
  </si>
  <si>
    <t>03.000</t>
  </si>
  <si>
    <t>Sabiedriskā kārtība un drošība</t>
  </si>
  <si>
    <t>03.600</t>
  </si>
  <si>
    <t>Ekonomiskā darbība</t>
  </si>
  <si>
    <t>04.111</t>
  </si>
  <si>
    <t>Vispārējas ekonomiskas darbības vadība</t>
  </si>
  <si>
    <t>04.210</t>
  </si>
  <si>
    <t>04.220</t>
  </si>
  <si>
    <t>Mežsaimniecība un medniecība</t>
  </si>
  <si>
    <t>04.510</t>
  </si>
  <si>
    <t>Autotransports</t>
  </si>
  <si>
    <t xml:space="preserve">       Ceļu būvniecībai un remontiem</t>
  </si>
  <si>
    <t>04.600</t>
  </si>
  <si>
    <t>Sakari</t>
  </si>
  <si>
    <t>Vides aizsardzība</t>
  </si>
  <si>
    <t>05.100</t>
  </si>
  <si>
    <t>Atkritumu apsaimniekošana</t>
  </si>
  <si>
    <t>Notekūdeņu apsaimniekošana</t>
  </si>
  <si>
    <t>Pašvaldības teritoriju un mājokļu apsaimniekošana</t>
  </si>
  <si>
    <t>06.300</t>
  </si>
  <si>
    <t>Ūdensapgāde</t>
  </si>
  <si>
    <t>06.400</t>
  </si>
  <si>
    <t>Ielu apgaismošana</t>
  </si>
  <si>
    <t>06.600</t>
  </si>
  <si>
    <t>Pārējā citur nekvalificētā pašvaldību teritoriju un mājokļu apsaimniekošanas darbība</t>
  </si>
  <si>
    <t>Veselība</t>
  </si>
  <si>
    <t>07.210</t>
  </si>
  <si>
    <t>Ambulatorās ārstniecības iestādes</t>
  </si>
  <si>
    <t>Atpūta, kultūra un reliģija</t>
  </si>
  <si>
    <t>08.100</t>
  </si>
  <si>
    <t>Atpūtas un sporta  pasākumi</t>
  </si>
  <si>
    <t xml:space="preserve">       Sporta pasākumu rīkošanai</t>
  </si>
  <si>
    <t xml:space="preserve">       Komandas vai individuālu sacensību dalībnieku atbalstam</t>
  </si>
  <si>
    <t>08.200</t>
  </si>
  <si>
    <t>08.230</t>
  </si>
  <si>
    <t>08.290</t>
  </si>
  <si>
    <t>Televīzija</t>
  </si>
  <si>
    <t>Izdevniecība ( Novada informatīvie izdevumi )</t>
  </si>
  <si>
    <t>09.000</t>
  </si>
  <si>
    <t>09.100</t>
  </si>
  <si>
    <t>PII  "Cīrulītis"</t>
  </si>
  <si>
    <t>PII  "Dzīpariņš"</t>
  </si>
  <si>
    <t>PII  "Zelta sietiņš"</t>
  </si>
  <si>
    <t>PII  "Saulīte"</t>
  </si>
  <si>
    <t>PII " Ābelīte"</t>
  </si>
  <si>
    <t>09.211</t>
  </si>
  <si>
    <t>Ogres 1. vidusskola</t>
  </si>
  <si>
    <t>Jaunogres vidusskola</t>
  </si>
  <si>
    <t>Ogresgala pamatskola</t>
  </si>
  <si>
    <t>09.510</t>
  </si>
  <si>
    <t>Interešu un profesionālās ievirzes izglītība</t>
  </si>
  <si>
    <t>09.820</t>
  </si>
  <si>
    <t>Sociālā aizsardzība</t>
  </si>
  <si>
    <t>10.600</t>
  </si>
  <si>
    <t>Mājokļa atbalsts</t>
  </si>
  <si>
    <t>10.700</t>
  </si>
  <si>
    <t>Pārējais citur neklasificēts atbalsts sociāli atstumtām personām</t>
  </si>
  <si>
    <t xml:space="preserve">Sociālais dienests </t>
  </si>
  <si>
    <t>Basketbola skola</t>
  </si>
  <si>
    <t>Nemateriālie ieguldījumi</t>
  </si>
  <si>
    <t>13.0.0.0.</t>
  </si>
  <si>
    <t xml:space="preserve">    Muzeji un izstādes</t>
  </si>
  <si>
    <t xml:space="preserve">    Finansējums PA "Ogres kultūras centrs"</t>
  </si>
  <si>
    <t xml:space="preserve">    Pilsētas dekorēšana svētkiem</t>
  </si>
  <si>
    <t>PII " Strautiņš"</t>
  </si>
  <si>
    <t xml:space="preserve">Pozīcijas nosaukums             </t>
  </si>
  <si>
    <t>Ieņēmumi no iedzīvotāju ienākuma nodokļa</t>
  </si>
  <si>
    <t>Saņemts no VK sadales konta  iepriekšējā gada nesadalītais iedzīvotāju ienākuma nodokļa atlikums</t>
  </si>
  <si>
    <t>Saņemts no VK sadales konta  pārskata gadā ieskaitītais iedzīvotāju ienākuma nodoklis</t>
  </si>
  <si>
    <t>4.0.0.0.</t>
  </si>
  <si>
    <t>Īpašuma nodokļi</t>
  </si>
  <si>
    <t>8.6.0.0.</t>
  </si>
  <si>
    <t>Procentu ieņēmumi par depozītiem, kontu atlikumiem un vērtpapīriem</t>
  </si>
  <si>
    <t>10.1.0.0.</t>
  </si>
  <si>
    <t>Naudas sodi</t>
  </si>
  <si>
    <t>19.1.0.0.</t>
  </si>
  <si>
    <t>21.3.5.0.</t>
  </si>
  <si>
    <t>Maksa par izglītības pakalpojumiem</t>
  </si>
  <si>
    <t>21.3.7.0.</t>
  </si>
  <si>
    <t>Būvvalde</t>
  </si>
  <si>
    <t>Mājokļu attīstība pašvaldībā</t>
  </si>
  <si>
    <t xml:space="preserve">       Ģimenes ārstu prakse </t>
  </si>
  <si>
    <t xml:space="preserve">    Bibliotēkas </t>
  </si>
  <si>
    <t>PII "Riekstiņš"</t>
  </si>
  <si>
    <t>PII "Taurenītis"</t>
  </si>
  <si>
    <t xml:space="preserve">Ķeipenes pamatskola </t>
  </si>
  <si>
    <t>Madlienas vidusskola</t>
  </si>
  <si>
    <t>09.219</t>
  </si>
  <si>
    <t>Suntažu vidusskola</t>
  </si>
  <si>
    <t>Madlienas mūzikas un mākslas skola</t>
  </si>
  <si>
    <t>09.600</t>
  </si>
  <si>
    <t>Izglītības papildu pakalpojumi</t>
  </si>
  <si>
    <t>Atbalsts bezdarba gadījumā</t>
  </si>
  <si>
    <t xml:space="preserve">Sabiedriskās organizācijas </t>
  </si>
  <si>
    <t>Pansionāts "Madliena"</t>
  </si>
  <si>
    <t>Preces un pakalpojumi</t>
  </si>
  <si>
    <t>Pakalpojumi</t>
  </si>
  <si>
    <t>Krājumi,materiāli,energoresursi,prece,biroja preces un inventārs, ko neuzskaita  5000. kodā</t>
  </si>
  <si>
    <t>Izdevumi periodikas iegādei</t>
  </si>
  <si>
    <t>Budžeta iestāžu nodokļu maksājumi</t>
  </si>
  <si>
    <t xml:space="preserve">Pārējie procentu maksājumi </t>
  </si>
  <si>
    <t>Pamatlīdzekļi</t>
  </si>
  <si>
    <t xml:space="preserve">Sociālie pabalsti naudā </t>
  </si>
  <si>
    <t>Sociālie pabalsti natūrā</t>
  </si>
  <si>
    <t xml:space="preserve"> IZDEVUMI KOPĀ</t>
  </si>
  <si>
    <t>21.1.0.0.</t>
  </si>
  <si>
    <t xml:space="preserve">Budžeta iestādes ieņēmumi no ārvalstu finanšu palīdzības </t>
  </si>
  <si>
    <t>F56010000</t>
  </si>
  <si>
    <t>Kapitālieguldījumu fondu akcijas</t>
  </si>
  <si>
    <t>Atalgojums</t>
  </si>
  <si>
    <t>Kopā:</t>
  </si>
  <si>
    <t>Krapes pagasts</t>
  </si>
  <si>
    <t>Ķeipenes pagasts</t>
  </si>
  <si>
    <t>Lauberes pagasts</t>
  </si>
  <si>
    <t>Madlienas pagasts</t>
  </si>
  <si>
    <t>Mazozolu pagasts</t>
  </si>
  <si>
    <t>Meņģeles pagasts</t>
  </si>
  <si>
    <t>Suntažu pagasts</t>
  </si>
  <si>
    <t>Taurupes pagasts</t>
  </si>
  <si>
    <t>Kopā novadā:</t>
  </si>
  <si>
    <t>Atbalsts ģimenēm ar bērniem (Bāriņtiesas)</t>
  </si>
  <si>
    <t>18.6.0.0.</t>
  </si>
  <si>
    <t>4.1.3.0.</t>
  </si>
  <si>
    <t>Nekustamā īpašuma nodoklis par mājokļiem</t>
  </si>
  <si>
    <t>Pašvaldību saņemtie transferti no valsts budžeta</t>
  </si>
  <si>
    <t>Pašvaldības budžeta iekšējie transferti starp vienas pašvaldības budžeta veidiem</t>
  </si>
  <si>
    <t>Pašvaldību saņemtie transferti no citām pašvaldībām</t>
  </si>
  <si>
    <t>Ieņēmumi no budžeta iestāžu sniegtajiem maksas pakalpojumiem un citi pašu ieņēmumi</t>
  </si>
  <si>
    <t>01.100</t>
  </si>
  <si>
    <t xml:space="preserve">Izpildvaras un likumdošanas varas  institūcijas </t>
  </si>
  <si>
    <t>01.820</t>
  </si>
  <si>
    <t>Vispārēja rakstura transferti no pašvaldību budžeta valsts budžetam</t>
  </si>
  <si>
    <t xml:space="preserve">Izdevumi neparedzētiem gadījumiem </t>
  </si>
  <si>
    <t>03.110</t>
  </si>
  <si>
    <t>Pārējie sabiedriskās kārtības un drošības pakalpojumi (Video novērošanai Ogrē)</t>
  </si>
  <si>
    <t>04.11101</t>
  </si>
  <si>
    <t>Uzņēmējdarbības  attīstības veicināšanai</t>
  </si>
  <si>
    <t xml:space="preserve">Lauksaimniecība </t>
  </si>
  <si>
    <t>04.51004</t>
  </si>
  <si>
    <t>Pārējais autotransports</t>
  </si>
  <si>
    <t>04.6001</t>
  </si>
  <si>
    <t>05.1001</t>
  </si>
  <si>
    <t>05.2001</t>
  </si>
  <si>
    <t>05.2002</t>
  </si>
  <si>
    <t>05.300</t>
  </si>
  <si>
    <t>Vides piesārņojuma novēršana un samazināšana</t>
  </si>
  <si>
    <t>05.400</t>
  </si>
  <si>
    <t>Bioloģiskās daudzveidības un ainavas aizsardzība</t>
  </si>
  <si>
    <t>Teritoriju attīstība ( projektēšanai )</t>
  </si>
  <si>
    <t>06.60001</t>
  </si>
  <si>
    <t>06.60002</t>
  </si>
  <si>
    <t>06.60003</t>
  </si>
  <si>
    <t>06.60006</t>
  </si>
  <si>
    <t>06.60007</t>
  </si>
  <si>
    <t>06.60008</t>
  </si>
  <si>
    <t>06.60009</t>
  </si>
  <si>
    <t>06.60010</t>
  </si>
  <si>
    <t>08.1001</t>
  </si>
  <si>
    <t>08.1002</t>
  </si>
  <si>
    <t>08.2202</t>
  </si>
  <si>
    <t>Pārējā citur neklasificētā kultūra</t>
  </si>
  <si>
    <t>08.29001</t>
  </si>
  <si>
    <t>08.29002</t>
  </si>
  <si>
    <t xml:space="preserve">Pirmsskolas izglītība </t>
  </si>
  <si>
    <t>09.10002</t>
  </si>
  <si>
    <t>09.10003</t>
  </si>
  <si>
    <t>09.10004</t>
  </si>
  <si>
    <t>09.10005</t>
  </si>
  <si>
    <t>09.10006</t>
  </si>
  <si>
    <t>09.10007</t>
  </si>
  <si>
    <t>09.10008</t>
  </si>
  <si>
    <t>09.10009</t>
  </si>
  <si>
    <t>09.10010</t>
  </si>
  <si>
    <t>Sākumskolas (ISCED-97 1. līmenis)</t>
  </si>
  <si>
    <t>Vispārējās izglītības mācību iestāžu izdevumi (ISCED-97 1.- 3. līmenis)</t>
  </si>
  <si>
    <t>09.21901</t>
  </si>
  <si>
    <t>09.21902</t>
  </si>
  <si>
    <t>Ogres ģimnāzija</t>
  </si>
  <si>
    <t>09.21903</t>
  </si>
  <si>
    <t>09.21904</t>
  </si>
  <si>
    <t>09.21905</t>
  </si>
  <si>
    <t>09.21906</t>
  </si>
  <si>
    <t>09.21907</t>
  </si>
  <si>
    <t>09.21908</t>
  </si>
  <si>
    <t>09.5101</t>
  </si>
  <si>
    <t>09.5102</t>
  </si>
  <si>
    <t>09.5106</t>
  </si>
  <si>
    <t>Pārējā citur neklasificētā izglītība (izglītības projektu realizācija)</t>
  </si>
  <si>
    <t>09.82007</t>
  </si>
  <si>
    <t>09.82008</t>
  </si>
  <si>
    <t>10.70001</t>
  </si>
  <si>
    <t>10.70002</t>
  </si>
  <si>
    <t>10.70005</t>
  </si>
  <si>
    <t>10.70010</t>
  </si>
  <si>
    <t>01.830    7230</t>
  </si>
  <si>
    <t>Pašvaldību  uzturēšanas izdevumu transferti padotības iestādēm</t>
  </si>
  <si>
    <t>Darba devēja valsts sociālās apdrošināšanas obligātās iemaksas, sociālā rakstura pabalsti un kompensācijas</t>
  </si>
  <si>
    <t>Subsīdijas un dotācijas komersantiem, biedrībām un nodibinājumiem</t>
  </si>
  <si>
    <t>Pārējie maksājumi iedzīvotājiem natūrā un kompensācijas</t>
  </si>
  <si>
    <t>Pašvaldību uzturēšanas izdevumu transferti</t>
  </si>
  <si>
    <t>06.100</t>
  </si>
  <si>
    <t>Dabas resursu nodoklis</t>
  </si>
  <si>
    <t>03.200</t>
  </si>
  <si>
    <t xml:space="preserve">          Vēstures un mākslas muzejs</t>
  </si>
  <si>
    <t>Ugunsdrošības, glābšanas un civilās drošības dienesti</t>
  </si>
  <si>
    <t>Ieņēmumi no pašvaldības īpašuma iznomāšanas, pārdošanas un nodokļu pamatp.kapitaliz.</t>
  </si>
  <si>
    <t>Publisko interneta pieejas punktu attīstība</t>
  </si>
  <si>
    <t>Taurupes pamatskola</t>
  </si>
  <si>
    <t>Pašvaldību saņemtie transferti no valsts budžeta daļēji finansētām atvasinātām publiskām personām un no budžeta nefinansētām iestādēm</t>
  </si>
  <si>
    <t>17.2.0.0.</t>
  </si>
  <si>
    <t xml:space="preserve">       Norēķini ar citu pašvaldību sociālo pakalpojumu iestādēm</t>
  </si>
  <si>
    <t>08.29011</t>
  </si>
  <si>
    <t>Budžeta nodaļas vadītāja</t>
  </si>
  <si>
    <t>PA "Rosme"</t>
  </si>
  <si>
    <t>F20010000 AS</t>
  </si>
  <si>
    <t>F20010000 AB</t>
  </si>
  <si>
    <t>21.4.9.0</t>
  </si>
  <si>
    <t>Pārējie iepriekš neklasificētie pašu ieņēmumi</t>
  </si>
  <si>
    <t>04.11114</t>
  </si>
  <si>
    <t>04.2103</t>
  </si>
  <si>
    <t>05.1007</t>
  </si>
  <si>
    <t>06.1001</t>
  </si>
  <si>
    <t>08.1004</t>
  </si>
  <si>
    <t xml:space="preserve">       Struktūrvienība peldbaseins  "Neptūns"</t>
  </si>
  <si>
    <t>09.82030</t>
  </si>
  <si>
    <t>Mācību, darba un dienesta komandējumi, dienesta, darba braucieni</t>
  </si>
  <si>
    <t>Kompensācijas, kuras izmaksā personām, pamatojoties uz Latvijas tiesu nolēmumiem</t>
  </si>
  <si>
    <t>10.70015</t>
  </si>
  <si>
    <t>Līdzekļu atlikums uz gada beigām (Kases apgrozāmie līdzekļi)  F22010020</t>
  </si>
  <si>
    <t>09.82032</t>
  </si>
  <si>
    <t>Informatīvi pasākumi uzņēmējiem</t>
  </si>
  <si>
    <t xml:space="preserve">Pašvaldības un tās iestāžu savstarpējie transferti </t>
  </si>
  <si>
    <t>07.4501</t>
  </si>
  <si>
    <t>08.2301</t>
  </si>
  <si>
    <t xml:space="preserve">    Kultūras aktivitātes / pasākumi</t>
  </si>
  <si>
    <t>Projekts Skolēnu autobusi (Soc.droš.tīkls)</t>
  </si>
  <si>
    <t>10.70003</t>
  </si>
  <si>
    <t>Sociālā dienesta asistentu pakalpojumi</t>
  </si>
  <si>
    <t>01.83011</t>
  </si>
  <si>
    <t>01.83012</t>
  </si>
  <si>
    <t>01.83013</t>
  </si>
  <si>
    <t>03.2001</t>
  </si>
  <si>
    <t>04.11102</t>
  </si>
  <si>
    <t>04.11103</t>
  </si>
  <si>
    <t>04.4301</t>
  </si>
  <si>
    <t>05.30001</t>
  </si>
  <si>
    <t>05.4001</t>
  </si>
  <si>
    <t xml:space="preserve">Mājokļu attīstība </t>
  </si>
  <si>
    <t>06.2001</t>
  </si>
  <si>
    <t xml:space="preserve">       Projektu konkurss "Veidojam vidi ap mums Ogres novadā"</t>
  </si>
  <si>
    <t xml:space="preserve">      Pašvaldības teritoriju labiekārtošana</t>
  </si>
  <si>
    <t>07.2101</t>
  </si>
  <si>
    <t>08.29007</t>
  </si>
  <si>
    <t>10.70006</t>
  </si>
  <si>
    <t>Jauniešu garantijas ietvaros projekta "PROTI un DARI!" īstenošana</t>
  </si>
  <si>
    <t>06.60012</t>
  </si>
  <si>
    <t xml:space="preserve"> </t>
  </si>
  <si>
    <t xml:space="preserve">      SAM 9.2.4.2. Pasākumi vietējās sabiedrības slimību profilaksei un veselības veicināšanai</t>
  </si>
  <si>
    <t>08.2304</t>
  </si>
  <si>
    <t xml:space="preserve">    Kultūras centri - tautas nami</t>
  </si>
  <si>
    <t>08.300</t>
  </si>
  <si>
    <t>Apraides un izdevniecības pakalpojumi</t>
  </si>
  <si>
    <t>Ēdināšanas izmaksu kompensācijas</t>
  </si>
  <si>
    <t>Skolnieku pārvadājumi</t>
  </si>
  <si>
    <t>09.82001</t>
  </si>
  <si>
    <t>Karjeras atbalsts vispārējās un profesionālās izglītības iestādēs</t>
  </si>
  <si>
    <t>09.60010</t>
  </si>
  <si>
    <t>09.60020</t>
  </si>
  <si>
    <t>04.510010</t>
  </si>
  <si>
    <t>SAM 5,6,2, Degradētās teritorijas Pārogres industriālajā parkā revitalizācija</t>
  </si>
  <si>
    <t>Atbalsts izglītojamo individuālo kompetenču attīstībai</t>
  </si>
  <si>
    <t>09.82039</t>
  </si>
  <si>
    <t>08.2101</t>
  </si>
  <si>
    <t>8.3.0.0.</t>
  </si>
  <si>
    <t>Īeņēmumi no dividendēm</t>
  </si>
  <si>
    <t>21.3.4.0.</t>
  </si>
  <si>
    <t>03.6002</t>
  </si>
  <si>
    <t>Atskurbtuves pakalpojumiem</t>
  </si>
  <si>
    <t>04.11116</t>
  </si>
  <si>
    <t>Ogres novadnieka karte</t>
  </si>
  <si>
    <t>08.2204</t>
  </si>
  <si>
    <t>08.2303</t>
  </si>
  <si>
    <t>08.3101</t>
  </si>
  <si>
    <t>08.3301</t>
  </si>
  <si>
    <t>10.70016</t>
  </si>
  <si>
    <t>ERAF "Pakalpojumu infrastruktūras attīstība deinstitualizācijas plānu īstenošanai"</t>
  </si>
  <si>
    <t>Tūrisma informācijas centrs</t>
  </si>
  <si>
    <t>09.82002</t>
  </si>
  <si>
    <t>Atbalsts priekšlaicīgas mācību pārtraukšanas samazināšanai (Pumpurs)</t>
  </si>
  <si>
    <t>09.82045</t>
  </si>
  <si>
    <t>Ogres 1. vidusskolas ERASMUS programmas 1. pamatdarbības mobilitātes projekts "No vārdiem pie darbiem: mūsdienīgu lietpratību veicinoša skola"</t>
  </si>
  <si>
    <t>04.7301</t>
  </si>
  <si>
    <t>07.4502</t>
  </si>
  <si>
    <t>06.60022</t>
  </si>
  <si>
    <t xml:space="preserve">     Veselības veicināšanas pasākumiem</t>
  </si>
  <si>
    <t>Energoefektivitātes pasākumi</t>
  </si>
  <si>
    <t>SIA Ogres namsaimnieks finansējums domes deliģēto funkciju izpildei</t>
  </si>
  <si>
    <t>Ieņēmumi par  dokumentu izsniegšanu un kancelejas pakalpojumiem</t>
  </si>
  <si>
    <t>01.6001</t>
  </si>
  <si>
    <t>Finansējums Ogres un Ikšķiles PA "Tūrisma, sporta un atpūtas kompleksa "Zilie kalni"attīstības aģentūra"</t>
  </si>
  <si>
    <t>Projektu pieteikumu izstrāde, tehniskās dokumentācijas sagatavošana</t>
  </si>
  <si>
    <t>04.2102</t>
  </si>
  <si>
    <t xml:space="preserve">Centrālās Baltijas jūras reģiona programmas projekts "Nordic urban planning:  holistic approach for extreme weather" (NOAH) </t>
  </si>
  <si>
    <t>04.51015</t>
  </si>
  <si>
    <t>Parka ielas pārbūve</t>
  </si>
  <si>
    <t>Ielu tīrīšanai, atkritumu savākšanai,teritoriju labiekārtošanai</t>
  </si>
  <si>
    <t>05.30002</t>
  </si>
  <si>
    <t>Siltumnīcefekta gāzu emisiju samazināšana izbūvējot Ogres Centrālo bibliotēkas ēku</t>
  </si>
  <si>
    <t>06.3001</t>
  </si>
  <si>
    <t>Vispārējie ūdens apgādes izdevumi</t>
  </si>
  <si>
    <t>08.220</t>
  </si>
  <si>
    <t xml:space="preserve">    Kultūras centri, nami</t>
  </si>
  <si>
    <t xml:space="preserve">    Komunikāciju centrs Ķeipenē</t>
  </si>
  <si>
    <t>08.29012</t>
  </si>
  <si>
    <t>09.82003</t>
  </si>
  <si>
    <t>Latvijas Skolas Soma</t>
  </si>
  <si>
    <t>09.82004</t>
  </si>
  <si>
    <t xml:space="preserve">Erasmus + programmas projekts Nr.2018-1-FR01-KA229-047933 3 (ģimnāzija) </t>
  </si>
  <si>
    <t>09.82005</t>
  </si>
  <si>
    <t xml:space="preserve">Erasmus + programmas projekts Nr.2018-1-PT01-KA229-047540 6 (ģimnāzija) </t>
  </si>
  <si>
    <t>09.82009</t>
  </si>
  <si>
    <t>Erasmus + programmas projekts Nr.2018-1-ES01-KA229-050191 3. Kultūra uz skatuves (ģimnāzija)</t>
  </si>
  <si>
    <t>09.82010</t>
  </si>
  <si>
    <t>Sadarbībā ar Rīgas tehnisko universitāti, Māturības un tehnoloģju mācību kabineta aprīkošanā 1. vidusskolā</t>
  </si>
  <si>
    <t>Pārējās izglītības iestāžu pedagogu profesionālās kompetences  pilnveide (Ģimnāzija)</t>
  </si>
  <si>
    <t>09.82046</t>
  </si>
  <si>
    <t xml:space="preserve">Erasmus + programmas projekts Nr.2018-1-EE01-KA229-047133 4 Darbīgās bites (Dzīpariņš) </t>
  </si>
  <si>
    <t>10.70009</t>
  </si>
  <si>
    <t>Konkurss Vides pieejamības nodrošināšana invalīdiem</t>
  </si>
  <si>
    <t>Erasmus+programmas projekts "ALLready a Success to School Life" (Pilnībā gatavs veiksmei skolā) Nr.2018-1-TR01-KA201-059716.Sākumsk.</t>
  </si>
  <si>
    <t>09.82011</t>
  </si>
  <si>
    <t>Sociālo pakalpojumu atbalsta sistēmas pilnveide projekta (GRT) Nr.9.2.2.2/16/I/001.</t>
  </si>
  <si>
    <t>10.70011</t>
  </si>
  <si>
    <t>Ogres novada pašvaldības domes</t>
  </si>
  <si>
    <t>5.5.3.0.</t>
  </si>
  <si>
    <t>8.9.0.0.</t>
  </si>
  <si>
    <t>Pārējie finanšu ieņēmumi</t>
  </si>
  <si>
    <t>12.0.0.0.</t>
  </si>
  <si>
    <t>Procentu ieņēmumi par maksas pakalpojumiem un pašu ieguldījumiem depozītā</t>
  </si>
  <si>
    <t xml:space="preserve">   Novērst plūdu un krasta erozijas risku apdraudējumu Ogres pilsētas teritorijā, veicot vecā aizsargdambja pārbūvi un jauna aizsargmola (straumvirzes) būvniecību pie Ogres upes ietekas Daugavā</t>
  </si>
  <si>
    <t>04.51016</t>
  </si>
  <si>
    <t>04.51017</t>
  </si>
  <si>
    <t>04.51018</t>
  </si>
  <si>
    <t xml:space="preserve">      Koncesija atkritumu apsaimniekošana</t>
  </si>
  <si>
    <t xml:space="preserve">       Lietus ūdens kanalizācija </t>
  </si>
  <si>
    <t xml:space="preserve">       Notekūdeņu (savākšana un attīrīšana)</t>
  </si>
  <si>
    <t xml:space="preserve">   Bioloģiskās daudzveidības un ainavas aizsardzība</t>
  </si>
  <si>
    <t xml:space="preserve">       mājokļu apsaimniekošana</t>
  </si>
  <si>
    <t xml:space="preserve">       siltumapgāde</t>
  </si>
  <si>
    <t xml:space="preserve">       kapu saimniecība</t>
  </si>
  <si>
    <t xml:space="preserve">      Īpašumu uzmērīšanai un reģistrēšanai Zemesgrāmatā</t>
  </si>
  <si>
    <t xml:space="preserve">      Pārējie izdevumi</t>
  </si>
  <si>
    <t xml:space="preserve">      Nevalstisko organizāciju projektu atbalstam</t>
  </si>
  <si>
    <t xml:space="preserve">      Saimniecības nodaļa</t>
  </si>
  <si>
    <t>06.60026</t>
  </si>
  <si>
    <t>Ogres bijušās sanatorijas ieejas vestibils</t>
  </si>
  <si>
    <t>06.60027</t>
  </si>
  <si>
    <t>Sūkņu stacijas projektēšana</t>
  </si>
  <si>
    <t>06.60028</t>
  </si>
  <si>
    <t>Jauniešu mājas būvprojekta izstrāde</t>
  </si>
  <si>
    <t xml:space="preserve">    Papildus aktivitātes  Ogres novada pašvaldības iestādēs (vasaras nometnes)</t>
  </si>
  <si>
    <t xml:space="preserve">       Projektu konkurss RADI Ogres novadam (Kultūras, sporta un izglītības pasākumi, mācības, kursi)</t>
  </si>
  <si>
    <t>Zaļā tūrisma ceļu attīstība Latvijas un Krievijas pierobežas reģionā ” Greenways (Zaļais ceļš Rīga – Pleskava)LV-RU-006</t>
  </si>
  <si>
    <t>Finansējums bērniem, kuri apmeklē privātās pirmsskolas izglītības iestādes</t>
  </si>
  <si>
    <t>09.810</t>
  </si>
  <si>
    <t>Pārējā izglītības vadība (Izglītības pārvalde)</t>
  </si>
  <si>
    <t xml:space="preserve">     Projekts Skolēnu autobusi (Šveice)</t>
  </si>
  <si>
    <t xml:space="preserve">      8.1.2.SAM "Uzlabot vispārējās izglītības iestāžu mācību vidi Ogres novadā"</t>
  </si>
  <si>
    <t>10.400</t>
  </si>
  <si>
    <t>10.500</t>
  </si>
  <si>
    <t xml:space="preserve">       ES projekts "Deinstitucionalizācija un sociālie pakalpojumi personām ar invaliditāti un bērniem"</t>
  </si>
  <si>
    <t>Procentu maksājumi iekšzemes kredītiestādēm</t>
  </si>
  <si>
    <t>09.600139</t>
  </si>
  <si>
    <t>Ēdināšana Ogres skolās</t>
  </si>
  <si>
    <t>08.29023</t>
  </si>
  <si>
    <t>Brīvdabas skatuves būvniecība  un laukuma labiekārtošana Meņģelē</t>
  </si>
  <si>
    <t>09.5107</t>
  </si>
  <si>
    <t>Ogres Mūzikas un mākslas skola</t>
  </si>
  <si>
    <t>08.29024</t>
  </si>
  <si>
    <t>Projekts "TRĪS.KOPĀ.LABĀK", "Starpnovadu un starpinstitūciju sadarbība jaunatnes politikas īstenošanai vietējā līmenī".</t>
  </si>
  <si>
    <t>09.82047</t>
  </si>
  <si>
    <t>Erasmus programmas projekts Nr.2020-1-LV01-KA101-077352 Skolu mācību mobilitāte (ģimnāzija)</t>
  </si>
  <si>
    <t>09.82048</t>
  </si>
  <si>
    <t>Erasmus programmas projekts Nr.2020-1-IT02-KA229-079156 2, Skolas apmaiņas partnerība (Jaunogres vsk.)</t>
  </si>
  <si>
    <t>09.82049</t>
  </si>
  <si>
    <t>Erasmus programmas projekts Nr.2020-1-PL01-KA229-081399 6 Es izaicinu vecumu ar sparu, (ģimnāzija)</t>
  </si>
  <si>
    <t>09.82050</t>
  </si>
  <si>
    <t>Erasmus programmas projekts Nr.2020-1-FR01-KA229-079905 2, Sagatavo mūs nākotnei, (ģimnāzija)</t>
  </si>
  <si>
    <t>09.82052</t>
  </si>
  <si>
    <t>Erasmus programmas projekts Nr.2020-1-TR01-KA229-093575 5 Atklāj patieso dzīvi, (ģimnāzija)</t>
  </si>
  <si>
    <t>09.82051</t>
  </si>
  <si>
    <t>Erasmus programmas projekts Nr.2020-1-TR01-KA229-093837 4, , (ģimnāzija)</t>
  </si>
  <si>
    <t>09.82053</t>
  </si>
  <si>
    <t>Erasmus programmas projekts Nr.2020-1-LV01-KA101-077362 Skolu mācību mobilitāte (Madlienas)</t>
  </si>
  <si>
    <t>09.82054</t>
  </si>
  <si>
    <t>04.51005</t>
  </si>
  <si>
    <t>Blaumaņa ielas Ogrē pārbūve</t>
  </si>
  <si>
    <t>04.51020</t>
  </si>
  <si>
    <t>Rožu ielas Ogrē pārbūve</t>
  </si>
  <si>
    <t>04.51022</t>
  </si>
  <si>
    <t>04.51023</t>
  </si>
  <si>
    <t>04.51024</t>
  </si>
  <si>
    <t>Egļu ielas Ogrē pārbūve</t>
  </si>
  <si>
    <t>Kadiķu ielas Ogrē pārbūve</t>
  </si>
  <si>
    <t>“Gājēju un veloceliņa izbūve gar autoceļa V996 "Ogre – Viskāļi - Koknese" brauktuves malu posmā no Ogres līdz Ogresgalam</t>
  </si>
  <si>
    <t>04.51025</t>
  </si>
  <si>
    <t>Lēdmanes ielas Ogrē pārbūve</t>
  </si>
  <si>
    <t>Birzgales ielas, Ogrē pārbūve</t>
  </si>
  <si>
    <t>06.60029</t>
  </si>
  <si>
    <t>Tirgus laukuma Suntažos uzturēšanai</t>
  </si>
  <si>
    <t>Reliģisko organizāciju un citu biedrību un nodibinājumu pakalpojumi (Sakrālā mantojuma saglabāšana)</t>
  </si>
  <si>
    <t>04.51026</t>
  </si>
  <si>
    <t>Gājēju ietves izbūve Madlienā</t>
  </si>
  <si>
    <t>Civilās aizsardzības pasākumi (COVID-19 izdevumi)</t>
  </si>
  <si>
    <t>Projekts "Uzņēmējdarbības attīstība Ogres stacijas rajonā, pārbūvējot uzņēmējiem svarīgu ielas posmu un laukumu Ogrē'' un Stacijas laukuma stāvlaukuma pārbūve.</t>
  </si>
  <si>
    <t>Finansējums bērniem, kuri apmeklē privātās izglītības iestādes</t>
  </si>
  <si>
    <t>09.21912</t>
  </si>
  <si>
    <t>ES projekts Digitālo mācību un metodisko līdzekļu izstrāde Uzdevumi.lv modernizācijai Nr.8.3.1.2/19/A/005.(1.vsk.)</t>
  </si>
  <si>
    <t>09.82055</t>
  </si>
  <si>
    <t>Pārējie iepriekš neklasificētie vispārējie valdības dienesti (Vēlēšanas)</t>
  </si>
  <si>
    <t xml:space="preserve">LAD projekts  "Rotaļu laukuma izveide Ogres novada Ķeipenes pagastā" </t>
  </si>
  <si>
    <t>09.82056</t>
  </si>
  <si>
    <t>Jaunu Pašvaldības pakalpojumu sniegšanas veidu attīstība</t>
  </si>
  <si>
    <t>Ogres novada pašvaldības 2021.gada pamatbudžeta ieņēmumi.</t>
  </si>
  <si>
    <t xml:space="preserve">Ogres un Ogresgala 2021.g. budžets </t>
  </si>
  <si>
    <t>Pašvald. aģentūras "Ogres komunikācijas" 2021.g. budžets</t>
  </si>
  <si>
    <t>Pašvald. aģentūras "Kultūras centrs" 2021.g. budžets</t>
  </si>
  <si>
    <t>Pašvald. aģentūras "Rosme" 2021.g. budžets</t>
  </si>
  <si>
    <t>Suntažu pagasta pārvaldes 2021.g. budžets</t>
  </si>
  <si>
    <t>Lauberes pagasta pārvaldes 2021.g. budžets</t>
  </si>
  <si>
    <t>Ķeipenes pagasta pārvaldes 2021.g. budžets</t>
  </si>
  <si>
    <t>Madlienas pagasta pārvaldes 2021.g. budžets</t>
  </si>
  <si>
    <t>Krapes pagasta pārvaldes 2021.g. budžets</t>
  </si>
  <si>
    <t>Mazozolu pagasta pārvaldes 2021.g. budžets</t>
  </si>
  <si>
    <t>Meņģeles pagasta pārvaldes 2021.g. budžets</t>
  </si>
  <si>
    <t>Taurupes pagasta pārvaldes 2021.g. budžets</t>
  </si>
  <si>
    <t>Ogres novada pašvaldības 2021.g. budžets</t>
  </si>
  <si>
    <t>Budžeta  atl.uz  01. 01. 2021.g.        F22010010</t>
  </si>
  <si>
    <t>Ogres novada pašvaldības 2021. gada pamatbudžeta  izdevumi atbilstoši funkcionālajām kategorijām.</t>
  </si>
  <si>
    <t>Iekārtā (gājēju) tilta pār Ogres upi teritorijā starp J.Čakstes pr. un Ogres ielu Ogrē, būvniecība</t>
  </si>
  <si>
    <t>04.51027</t>
  </si>
  <si>
    <t>Madlienas pag. autoceļa A1 posma no P32 līdz iebrauktuvei uz Madlienas vidusskolu pārbūve</t>
  </si>
  <si>
    <t>04.51028</t>
  </si>
  <si>
    <t>Poruka ielas, Ogrē pārbūve</t>
  </si>
  <si>
    <t>04.51029</t>
  </si>
  <si>
    <t xml:space="preserve">Čakstes/Strēlnieku prospekta līdz Dārza ielai atjaunošana </t>
  </si>
  <si>
    <t>04.51030</t>
  </si>
  <si>
    <t xml:space="preserve">Čakstes prospekta no Mazās Ķentes ielas līdz Skalbju ielai atjaunošana </t>
  </si>
  <si>
    <t>04.51031</t>
  </si>
  <si>
    <t xml:space="preserve">Dārza ielas līdz autoceļam A6 atjaunošana </t>
  </si>
  <si>
    <t>04.51032</t>
  </si>
  <si>
    <t>Lielvārdes ielas virsmas atjaunošana</t>
  </si>
  <si>
    <t>04.51033</t>
  </si>
  <si>
    <t xml:space="preserve">Stirnu ielas virsmas atjaunošana </t>
  </si>
  <si>
    <t>04.51034</t>
  </si>
  <si>
    <t>Miera ielas pārbūve</t>
  </si>
  <si>
    <t>04.51035</t>
  </si>
  <si>
    <t>Bumbieru ielas, Ogresgalā pārbūve</t>
  </si>
  <si>
    <t>04.51037</t>
  </si>
  <si>
    <t>Autostāvlaukuma izbūve Mālkalnes prospektā 43, Ogrē</t>
  </si>
  <si>
    <t>04.51038</t>
  </si>
  <si>
    <t>Velo trase ar izciļņiem (Pump track)</t>
  </si>
  <si>
    <t>04.51039</t>
  </si>
  <si>
    <t>Ceriņu ielas, Ogrē pārbūve</t>
  </si>
  <si>
    <t>05.30013</t>
  </si>
  <si>
    <t>Ogres pašvaldības ēkas Skolas ielā 12, Ogrē energoefektivitātes paaugstināšana izmantojot atjaunojamos energoresursus Projekta Nr. 4.2.2.0/20/I/009</t>
  </si>
  <si>
    <t>05.30014</t>
  </si>
  <si>
    <t>Ogresgala pagasta pirmsskolas izglītības iestādes “Ābelīte” energoefektivitātes pasākumi (atjaunošana)</t>
  </si>
  <si>
    <t>06.60030</t>
  </si>
  <si>
    <t>Bākas uz mola projektēšana un būvniecība</t>
  </si>
  <si>
    <t>09.82057</t>
  </si>
  <si>
    <t>Erasmus programmas projekts Nr.2020-1-TR01-KA229-092959 4, Pusaudžu domasi, (sākumskola)</t>
  </si>
  <si>
    <t>09.82058</t>
  </si>
  <si>
    <t>Erasmus programmas projekts Nr.2020-1-DE03-KA229-077592 6, Eiropas ilgtspējīgas un pietiekamības skola, (1.VSK.)</t>
  </si>
  <si>
    <t>Ogres novada pašvaldības 2021. gada pamatbudžeta  izdevumi atbilstoši ekonomiskajām kategorijām.</t>
  </si>
  <si>
    <t>08.29025</t>
  </si>
  <si>
    <t>"Ogre-Eiropas kultūras galvaspilsēta 2027"</t>
  </si>
  <si>
    <t>06.60031</t>
  </si>
  <si>
    <t>Projekts "Sugu un biotopu stāvokļa uzlabošanas pasākumi īpaši aizsargājamajā dabas teritorijā "Ogres ieleja""</t>
  </si>
  <si>
    <t>04.51040</t>
  </si>
  <si>
    <t>06.3002</t>
  </si>
  <si>
    <t>09.82059</t>
  </si>
  <si>
    <t>09.82060</t>
  </si>
  <si>
    <t>"Meža prospekta posms piekļuves nodrošināšanai skolas un sporta ēkai Meža prospektā 17, Ogrē"</t>
  </si>
  <si>
    <t>Urbuma un ūdensapgādes sistēmas būvniecība Krapē daudzdzīvokļu mājai “Modernieki”</t>
  </si>
  <si>
    <t>Vides pieejamības nodrošināšanai Ogres Valsts ģimnāzijai</t>
  </si>
  <si>
    <t>"Pašvaldības ēkas fasādes un kabinetu (telpu grupu) atjaunošana Ziedu ielā3, Ķeipenē"</t>
  </si>
  <si>
    <t>08.4001</t>
  </si>
  <si>
    <t>9.1.0.0.</t>
  </si>
  <si>
    <t>Valsts nodevas par valsts sniegto nodrošinājumu un juridiskajiem un citiem pakalp.</t>
  </si>
  <si>
    <t xml:space="preserve">    Sudrabu Edžus memoriālā istaba</t>
  </si>
  <si>
    <t xml:space="preserve">Sports </t>
  </si>
  <si>
    <t>08.600</t>
  </si>
  <si>
    <t>Pārējie citur neklasificētie sporta, atpūtas, kultūras un reliģijas pakalpojumi</t>
  </si>
  <si>
    <t>Līdzfinansējumi dienas centriem</t>
  </si>
  <si>
    <t>Tūrisma attīstība</t>
  </si>
  <si>
    <t>ES struktūrf.proj."Vietējās sabiedr.veselības veicināš.un slimību profil.Ķeguma nov."</t>
  </si>
  <si>
    <t>Projekts "Daugava pie Kaibalas"</t>
  </si>
  <si>
    <t>Leader projekts 2020</t>
  </si>
  <si>
    <t>PII "Urdaviņa"</t>
  </si>
  <si>
    <t>PII "Čiekuriņš"</t>
  </si>
  <si>
    <t>PII Tīnūžu sākumskolā</t>
  </si>
  <si>
    <t>PII "Gaismiņa"</t>
  </si>
  <si>
    <t>PII "Birztaliņa"</t>
  </si>
  <si>
    <t>PII Ķeguma komercvidusskola</t>
  </si>
  <si>
    <t>Ķeguma komercnovirziena vidusskola</t>
  </si>
  <si>
    <t>Birzgales pamatskola</t>
  </si>
  <si>
    <t>Erasmus + programma  Līg.Nr. 2018-1-LV01-KA229-046985_1</t>
  </si>
  <si>
    <t>ESF proj.Nr.8.3.5.0/16/I/001"Karjeras atbalsts visp.un prof. izglītības iestādēs"</t>
  </si>
  <si>
    <t>Birzgales mūzikas skola</t>
  </si>
  <si>
    <t>Ķeguma SAC "Senliepas"</t>
  </si>
  <si>
    <t>10.900</t>
  </si>
  <si>
    <t>Pārējā citur neklasificētā sociālā aizsardzība</t>
  </si>
  <si>
    <t>Skolēnu nodarbinātība</t>
  </si>
  <si>
    <t>COVID-19</t>
  </si>
  <si>
    <t>Pārējo vispārējas  nozīmes dienestu darbība un pakalpojumi</t>
  </si>
  <si>
    <t>Projekts "Riekstu ielas izbūve"</t>
  </si>
  <si>
    <t>Projekts Raiņa ielas-Gaismas ielas, edgarakauliņa, Austrinu ceļa atjaunošana</t>
  </si>
  <si>
    <t>Uzvaras, Meža ielas atjaunošana</t>
  </si>
  <si>
    <t>3 Ielu atjaunošanas projekti Lielvārdē, ziemeļu pusē</t>
  </si>
  <si>
    <t xml:space="preserve"> Projekts Īpaši aizsargājamās dabas teritorijas Daugava pie Kaibalas dabas aizsardzības plānā noteikto tūrisma un dabas aizsardzības aktivitāšu ieviešana</t>
  </si>
  <si>
    <t>Ielu apgaismojuma infrastruktūras atjaunošana /paplašināšana (Kaibalas skola -Silakalni-Krasti, Burtnieku iela, Jumpravas pag. Inženieru un Dzelzceļa iela, Dzelmes)</t>
  </si>
  <si>
    <t>EKLV projektēšana</t>
  </si>
  <si>
    <t>Sabiedrības līdzlemta budžetēšana. Iedzīvotāju projekta ideju relizācija atbilstoši Attīstības programmai</t>
  </si>
  <si>
    <t>Lielvārdes KC Jumta un lielās zāles remontam</t>
  </si>
  <si>
    <t>Lēdmanes pagasta teritorijas "Gaismas" laukuma labiekārtošanas darbi (bruģēšana + apgaismojums).</t>
  </si>
  <si>
    <t>Dzīvojamās mājas "Vecavoti" fasādes remonts</t>
  </si>
  <si>
    <t xml:space="preserve">  SIA Lielvārdes Remte-pašvaldības teritorijas un kapu apsaimniekošanai domes finansējums deliģētās funkcijas izpildei</t>
  </si>
  <si>
    <t>SIA Lielvārdes Remte-pašvaldības īpašumu -mājokļu apsaimniekošnai finansējums domes deliģētās funkcijas izpildei</t>
  </si>
  <si>
    <t>Lielvārdes pilsētas Lāčplēša laukuma pārbūve</t>
  </si>
  <si>
    <t>Projekts ESF Lielvārdes pilsētas veselības veicināšana</t>
  </si>
  <si>
    <t>Projekts ERAF Lielvārdes poliklīnikas infrastruktūras uzlabošana A.Kauliņas un L.Rancānes  ārsta praksēm</t>
  </si>
  <si>
    <t xml:space="preserve"> Veselības veicināšana-Projekts ESF Nr. 9.3.2.0/19/A/127-"Lielvārdes poliklīnikas infrastr.ārstu praksē</t>
  </si>
  <si>
    <t>Jaunas VPII būvniecība</t>
  </si>
  <si>
    <t xml:space="preserve"> VPII "Pūt vējiņi" </t>
  </si>
  <si>
    <t>Lielvārdes pamatskola</t>
  </si>
  <si>
    <t>Lēdmanes pamatskola</t>
  </si>
  <si>
    <t>Jumpravas pamatskola</t>
  </si>
  <si>
    <t>Valdemāra pamatskola</t>
  </si>
  <si>
    <t>Edkara Kauliņa Lielvārdes vidusskola</t>
  </si>
  <si>
    <t>ES fonda projekta Nr. 8.3.5.0/16/I001 "Karjeras atbalsts vispārējās un profesionālās izglītības</t>
  </si>
  <si>
    <t xml:space="preserve">  E.Kauliņa Lielvārdes vidusskola ERASMUS+ programmas projekts Nr.2019-1-ES01-KA229-064176-4</t>
  </si>
  <si>
    <t>Lielvārdes sporta centrs</t>
  </si>
  <si>
    <t>Lielvārdes Mūzikas un mākslas skola</t>
  </si>
  <si>
    <t xml:space="preserve"> ERASMUS+"A.L.C.H.M.I.A" PROJEKTS Nr.2020-1-FI01-KA227-SCH-092716 Lielvārdes Mūzikas un mākslas skola</t>
  </si>
  <si>
    <t>Skolēnu vasaras nodarbinātības pasākumi</t>
  </si>
  <si>
    <t>Izglītības atbalsta pasākumi, bērnu vasaras nometne</t>
  </si>
  <si>
    <t>Izglītības atbalsta pasākumi (izglītības nodaļa)</t>
  </si>
  <si>
    <t xml:space="preserve"> ESF projekta "Proti un Dari" Nr.8.3.3.0/15/I/001 īstenošana</t>
  </si>
  <si>
    <t>Erasmus+ 2020-1-FR01-KA229-080395_3 Jumpravas pamatskola</t>
  </si>
  <si>
    <t>Erasmus+ 2020-1-PL01-KA229-081470_4 Jumpravas pamatskola</t>
  </si>
  <si>
    <t>Erasmus+ 2020-1-EE01-KA229-077961_4 Jumpravas pamatskola</t>
  </si>
  <si>
    <t>Erasmus+ 2020-1-LV01-KA229-077484 Jumpravas pamatskola</t>
  </si>
  <si>
    <t>Erasmus+ 2020-1-AT01-KA229-078145_3 Jumpravas pamatskola</t>
  </si>
  <si>
    <t>10.120</t>
  </si>
  <si>
    <t xml:space="preserve"> Sociālā aizsardzība invaliditātes gadījumā (asistenti)</t>
  </si>
  <si>
    <t xml:space="preserve"> Izglītības atbalsta pasākumi-sociālie pedagogi</t>
  </si>
  <si>
    <t>Bērnu vasaras nometnes (Jumpravā, Dienas centra)</t>
  </si>
  <si>
    <t>Pabalsti administrācija</t>
  </si>
  <si>
    <t>F55 01 00 10</t>
  </si>
  <si>
    <t>Valsts kases aizņēmumi</t>
  </si>
  <si>
    <t>Ikšķiles pilsētas un Tīnūžu pagasta pārvaldes 2021.g. budžets</t>
  </si>
  <si>
    <t>06.60032</t>
  </si>
  <si>
    <t>08.29026</t>
  </si>
  <si>
    <t>Ivestīciju projekts "Esošās ēkas rekonstrukcija Taurupes muižas klēts pārbūve"</t>
  </si>
  <si>
    <t>Investīciju projekts "Inženierbūves atjaunošana" Zvaigžņu iela 11, Ogrē</t>
  </si>
  <si>
    <t xml:space="preserve">    Līdzekļi, kas nododami finanšu izlīdzināšanas fondam</t>
  </si>
  <si>
    <t>Attīstības nodaļa</t>
  </si>
  <si>
    <t>Jaunatnes aktivitātes</t>
  </si>
  <si>
    <t>“Tūrisma, sporta un atpūtas komplekss“ ZILIE KALNI”</t>
  </si>
  <si>
    <t>Kultūras mantojuma centrs "Tīnūžu muiža"</t>
  </si>
  <si>
    <t>Projekts "Latvijas-Igaunijas Kopīgā Militārā Mantojuma Tūrisma Produkts""</t>
  </si>
  <si>
    <t>SIA Ikšķiles māja finansējums domes deliģēto funkciju izpildei</t>
  </si>
  <si>
    <t>Finansējums privātiem bērnu uzraudzības pakalpojumu sniedzējiem</t>
  </si>
  <si>
    <t>Tīnūžu sākumskola</t>
  </si>
  <si>
    <t>Ikšķiles vidusskola</t>
  </si>
  <si>
    <t>Ikšķiles Sporta skola</t>
  </si>
  <si>
    <t>Ikšķiles Mūzikas un mākslas skola</t>
  </si>
  <si>
    <t>Finansējums bērniem, kuri apmeklē privātās interešu izglītības iestādes</t>
  </si>
  <si>
    <t>Pašvaldību savstrapējie norēkini par izglītības paklpojumiem</t>
  </si>
  <si>
    <t>Ikšķiles vidusskola - ERASMUS+ programma Skolu apmaiņas partnerība</t>
  </si>
  <si>
    <t xml:space="preserve"> ERASMUS + projekts Cross-sectorial cooperation for reaching out to the youth</t>
  </si>
  <si>
    <t>ERASMUS + projekts The power of youth - Shaking the Present, Building the Future</t>
  </si>
  <si>
    <t>Jaunatnes starptautisko programmu aģentūras projekts "Atbalsts IKvienam jaunietim"</t>
  </si>
  <si>
    <t>PSIA "Ikšķiles māja" ieguldījums pamatkapitālā</t>
  </si>
  <si>
    <t>SIA "Lielvārdes Remte" ieguldījums pamatkapitālā</t>
  </si>
  <si>
    <t>Aģentūra “Tūrisma, sporta un atpūtas kompleksa “ZILIE KALNI” attīstības aģentūra"</t>
  </si>
  <si>
    <t xml:space="preserve">Teritoriju un mājokļu apsaimniekošana </t>
  </si>
  <si>
    <t>Birzgales komunālā nodaļa</t>
  </si>
  <si>
    <t>Autoceļu fonds</t>
  </si>
  <si>
    <t>Kultūras pārvalde</t>
  </si>
  <si>
    <t>Interešu izglītības iestādes</t>
  </si>
  <si>
    <t>Skolēnu vasaras nodarbinātības programma</t>
  </si>
  <si>
    <t>03.3900</t>
  </si>
  <si>
    <t>Pārējās tieslietu iestādes</t>
  </si>
  <si>
    <t>Aprūpes pakalpojumi bērniem</t>
  </si>
  <si>
    <t>04.730</t>
  </si>
  <si>
    <t>0.600</t>
  </si>
  <si>
    <t>07.450</t>
  </si>
  <si>
    <t>10.910</t>
  </si>
  <si>
    <t>F40 02 00 20</t>
  </si>
  <si>
    <t xml:space="preserve">Aizņēmumu atmaksa        </t>
  </si>
  <si>
    <t>F40 02 00 10</t>
  </si>
  <si>
    <t>01.300</t>
  </si>
  <si>
    <t xml:space="preserve">Līdzfinansējumi </t>
  </si>
  <si>
    <t>09.82061</t>
  </si>
  <si>
    <t>LM asistentu pakalp.</t>
  </si>
  <si>
    <t>Soc dien.(audžu ģim.)</t>
  </si>
  <si>
    <t>Atbalsts bērnu un jauniešu nometņu organizēšanai Ogres novada pašvaldības iestādēs</t>
  </si>
  <si>
    <t>Ķeguma pilsētas un pagastu pārvaldes 2021.g. budžets</t>
  </si>
  <si>
    <t>Lielvārdes pilsētas un pagastu pārvaldes 2021.g. budžets</t>
  </si>
  <si>
    <t xml:space="preserve">    Birzgales muzejs "Rūķi"</t>
  </si>
  <si>
    <t>Mērķdot. ceļu uzturēšanai</t>
  </si>
  <si>
    <t>Paskaidrojums pie budžeta par transfertiem</t>
  </si>
  <si>
    <t>No vispārējiem ieņēmumiem (12 mēn.)*</t>
  </si>
  <si>
    <t>No visp. ieņēmumiem kompensāc. pedagogu darba samaksai (12 mēn.)</t>
  </si>
  <si>
    <t>Mērķdot. visp.izgl. ped. darb.sam.    (8 mēn.)</t>
  </si>
  <si>
    <t>Mērķdotācija interešu izgl.        (8 mēn.)</t>
  </si>
  <si>
    <t>Mērķdot. 5.-6.gad. apm. ped.darb.sam.(8 mēn.)</t>
  </si>
  <si>
    <t>Finan. māc.līdz. un grāmatu iegādei</t>
  </si>
  <si>
    <t>Digitālo mācību līdzekļu iegādei</t>
  </si>
  <si>
    <t xml:space="preserve">Finan. 5-6 gad. māc.līdz. un grāmatu iegādei </t>
  </si>
  <si>
    <t>5-6 gad. digitālo mācību līdzekļu iegādei</t>
  </si>
  <si>
    <t>Dotācija sporta, mūzikas sk. ped. darb.sam. (12 mēn.)</t>
  </si>
  <si>
    <t>Dotācija rehabilit.centram (8 mēn.) pansion.  (12 mēn.)</t>
  </si>
  <si>
    <t>Valsts fin. 1.,2.,3.,4. klases skoln. ēdināš.</t>
  </si>
  <si>
    <t>Pašv. fin. 1.,2.,3.,4. klases skoln. ēdināš.</t>
  </si>
  <si>
    <t>5-9 klases skoln. ēdināš.</t>
  </si>
  <si>
    <t>Transferts soc. pabalstiem par bērnu ēdināšanu</t>
  </si>
  <si>
    <t>No dabas resursu nodokļa</t>
  </si>
  <si>
    <t xml:space="preserve">Mērķdot. Mākslin. kolekt.vad. darb.sam.    </t>
  </si>
  <si>
    <t>Mērķdot. piemaksai PII ped.darb.sam. Covid laikā</t>
  </si>
  <si>
    <t>Mērķdot. ped.darb. sam. Covid laikā par individuālajām konsultācijām</t>
  </si>
  <si>
    <t>Valsts fin.  bērnu un jauniešu nometņu organizēš.</t>
  </si>
  <si>
    <t xml:space="preserve"> Madl. pans. Sunt. bijuš. internātsk. Telpu uzt.</t>
  </si>
  <si>
    <t>Deliģēto funkciju izpildei</t>
  </si>
  <si>
    <t>Ogres komunikācijas</t>
  </si>
  <si>
    <t>Ogres kultūras centrs</t>
  </si>
  <si>
    <t>Ikšķiles pils. un Tīnūžu pagasts</t>
  </si>
  <si>
    <t>Ķeguma pils. un Rembates pagasts</t>
  </si>
  <si>
    <t>Lielvārdes pilsētas un pagasts</t>
  </si>
  <si>
    <r>
      <t xml:space="preserve">Informācija par Ogres novada 2021.gada pamatbudžeta transferta maksājumiem pēc </t>
    </r>
    <r>
      <rPr>
        <b/>
        <sz val="12"/>
        <rFont val="Times New Roman"/>
        <family val="1"/>
      </rPr>
      <t xml:space="preserve"> ATR ( EUR )</t>
    </r>
    <r>
      <rPr>
        <sz val="12"/>
        <rFont val="Times New Roman"/>
        <family val="1"/>
      </rPr>
      <t>.</t>
    </r>
  </si>
  <si>
    <r>
      <t>Tai skaitā</t>
    </r>
    <r>
      <rPr>
        <sz val="10"/>
        <rFont val="Times New Roman"/>
        <family val="1"/>
      </rPr>
      <t xml:space="preserve"> ņemta vērā līdzekļu pārdale ar PA Rosme</t>
    </r>
  </si>
  <si>
    <t>Bezdarb nieku stipendijas</t>
  </si>
  <si>
    <t>05.08.2021. Saistošajiem noteikumiem Nr.15/2021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</si>
</sst>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&quot;Ls&quot;_-;\-* #,##0\ &quot;Ls&quot;_-;_-* &quot;-&quot;\ &quot;Ls&quot;_-;_-@_-"/>
    <numFmt numFmtId="171" formatCode="_-* #,##0\ _L_s_-;\-* #,##0\ _L_s_-;_-* &quot;-&quot;\ _L_s_-;_-@_-"/>
    <numFmt numFmtId="172" formatCode="_-* #,##0.00\ &quot;Ls&quot;_-;\-* #,##0.00\ &quot;Ls&quot;_-;_-* &quot;-&quot;??\ &quot;Ls&quot;_-;_-@_-"/>
    <numFmt numFmtId="173" formatCode="_-* #,##0.00\ _L_s_-;\-* #,##0.00\ _L_s_-;_-* &quot;-&quot;??\ _L_s_-;_-@_-"/>
    <numFmt numFmtId="174" formatCode="0.000"/>
  </numFmts>
  <fonts count="37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color indexed="10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1"/>
      <color indexed="18"/>
      <name val="Times New Roman"/>
      <family val="1"/>
    </font>
    <font>
      <sz val="11"/>
      <color rgb="FFFF0000"/>
      <name val="Times New Roman"/>
      <family val="1"/>
    </font>
    <font>
      <sz val="11"/>
      <color theme="3" tint="-0.24997000396251678"/>
      <name val="Times New Roman"/>
      <family val="1"/>
    </font>
    <font>
      <sz val="10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7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10" fillId="20" borderId="1" applyNumberFormat="0" applyAlignment="0" applyProtection="0"/>
    <xf numFmtId="0" fontId="2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9" borderId="1" applyNumberFormat="0" applyAlignment="0" applyProtection="0"/>
    <xf numFmtId="0" fontId="4" fillId="0" borderId="0" applyNumberFormat="0" applyFill="0" applyBorder="0" applyAlignment="0" applyProtection="0"/>
    <xf numFmtId="0" fontId="21" fillId="20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13" fillId="6" borderId="0" applyNumberFormat="0" applyBorder="0" applyAlignment="0" applyProtection="0"/>
    <xf numFmtId="0" fontId="19" fillId="21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1" fillId="22" borderId="4" applyNumberFormat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8" fillId="0" borderId="6" applyNumberFormat="0" applyFill="0" applyAlignment="0" applyProtection="0"/>
    <xf numFmtId="0" fontId="9" fillId="5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91">
    <xf numFmtId="0" fontId="0" fillId="0" borderId="0" xfId="0" applyAlignment="1">
      <alignment/>
    </xf>
    <xf numFmtId="0" fontId="0" fillId="0" borderId="0" xfId="0" applyFont="1" applyAlignment="1">
      <alignment/>
    </xf>
    <xf numFmtId="3" fontId="5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3" fontId="5" fillId="24" borderId="1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3" fontId="1" fillId="0" borderId="0" xfId="0" applyNumberFormat="1" applyFont="1" applyAlignment="1">
      <alignment/>
    </xf>
    <xf numFmtId="0" fontId="25" fillId="24" borderId="10" xfId="51" applyFont="1" applyFill="1" applyBorder="1" applyAlignment="1">
      <alignment horizontal="left" wrapText="1"/>
      <protection/>
    </xf>
    <xf numFmtId="0" fontId="5" fillId="24" borderId="10" xfId="0" applyFont="1" applyFill="1" applyBorder="1" applyAlignment="1">
      <alignment horizontal="left" wrapText="1"/>
    </xf>
    <xf numFmtId="3" fontId="5" fillId="24" borderId="11" xfId="0" applyNumberFormat="1" applyFont="1" applyFill="1" applyBorder="1" applyAlignment="1">
      <alignment/>
    </xf>
    <xf numFmtId="3" fontId="5" fillId="24" borderId="12" xfId="0" applyNumberFormat="1" applyFont="1" applyFill="1" applyBorder="1" applyAlignment="1">
      <alignment/>
    </xf>
    <xf numFmtId="3" fontId="5" fillId="24" borderId="13" xfId="0" applyNumberFormat="1" applyFont="1" applyFill="1" applyBorder="1" applyAlignment="1">
      <alignment/>
    </xf>
    <xf numFmtId="3" fontId="5" fillId="24" borderId="14" xfId="0" applyNumberFormat="1" applyFont="1" applyFill="1" applyBorder="1" applyAlignment="1">
      <alignment/>
    </xf>
    <xf numFmtId="3" fontId="5" fillId="24" borderId="10" xfId="0" applyNumberFormat="1" applyFont="1" applyFill="1" applyBorder="1" applyAlignment="1" applyProtection="1">
      <alignment horizontal="center"/>
      <protection/>
    </xf>
    <xf numFmtId="3" fontId="5" fillId="24" borderId="15" xfId="0" applyNumberFormat="1" applyFont="1" applyFill="1" applyBorder="1" applyAlignment="1">
      <alignment/>
    </xf>
    <xf numFmtId="3" fontId="6" fillId="24" borderId="16" xfId="0" applyNumberFormat="1" applyFont="1" applyFill="1" applyBorder="1" applyAlignment="1">
      <alignment/>
    </xf>
    <xf numFmtId="3" fontId="5" fillId="24" borderId="17" xfId="0" applyNumberFormat="1" applyFont="1" applyFill="1" applyBorder="1" applyAlignment="1">
      <alignment/>
    </xf>
    <xf numFmtId="3" fontId="5" fillId="24" borderId="18" xfId="0" applyNumberFormat="1" applyFont="1" applyFill="1" applyBorder="1" applyAlignment="1">
      <alignment/>
    </xf>
    <xf numFmtId="3" fontId="6" fillId="24" borderId="17" xfId="0" applyNumberFormat="1" applyFont="1" applyFill="1" applyBorder="1" applyAlignment="1">
      <alignment/>
    </xf>
    <xf numFmtId="3" fontId="5" fillId="24" borderId="10" xfId="57" applyNumberFormat="1" applyFont="1" applyFill="1" applyBorder="1" applyAlignment="1">
      <alignment horizontal="left" wrapText="1"/>
      <protection/>
    </xf>
    <xf numFmtId="3" fontId="6" fillId="24" borderId="15" xfId="0" applyNumberFormat="1" applyFont="1" applyFill="1" applyBorder="1" applyAlignment="1">
      <alignment/>
    </xf>
    <xf numFmtId="3" fontId="6" fillId="24" borderId="10" xfId="0" applyNumberFormat="1" applyFont="1" applyFill="1" applyBorder="1" applyAlignment="1">
      <alignment/>
    </xf>
    <xf numFmtId="3" fontId="6" fillId="24" borderId="19" xfId="0" applyNumberFormat="1" applyFont="1" applyFill="1" applyBorder="1" applyAlignment="1">
      <alignment/>
    </xf>
    <xf numFmtId="3" fontId="5" fillId="24" borderId="20" xfId="0" applyNumberFormat="1" applyFont="1" applyFill="1" applyBorder="1" applyAlignment="1">
      <alignment/>
    </xf>
    <xf numFmtId="3" fontId="5" fillId="24" borderId="10" xfId="0" applyNumberFormat="1" applyFont="1" applyFill="1" applyBorder="1" applyAlignment="1">
      <alignment wrapText="1"/>
    </xf>
    <xf numFmtId="3" fontId="6" fillId="24" borderId="0" xfId="0" applyNumberFormat="1" applyFont="1" applyFill="1" applyBorder="1" applyAlignment="1" applyProtection="1">
      <alignment/>
      <protection/>
    </xf>
    <xf numFmtId="3" fontId="5" fillId="24" borderId="0" xfId="0" applyNumberFormat="1" applyFont="1" applyFill="1" applyBorder="1" applyAlignment="1" applyProtection="1">
      <alignment horizontal="left" wrapText="1"/>
      <protection/>
    </xf>
    <xf numFmtId="3" fontId="5" fillId="24" borderId="0" xfId="0" applyNumberFormat="1" applyFont="1" applyFill="1" applyAlignment="1">
      <alignment/>
    </xf>
    <xf numFmtId="3" fontId="5" fillId="24" borderId="0" xfId="55" applyNumberFormat="1" applyFont="1" applyFill="1" applyAlignment="1">
      <alignment horizontal="right"/>
      <protection/>
    </xf>
    <xf numFmtId="3" fontId="5" fillId="24" borderId="0" xfId="55" applyNumberFormat="1" applyFont="1" applyFill="1" applyAlignment="1">
      <alignment horizontal="left"/>
      <protection/>
    </xf>
    <xf numFmtId="3" fontId="5" fillId="24" borderId="0" xfId="0" applyNumberFormat="1" applyFont="1" applyFill="1" applyAlignment="1">
      <alignment horizontal="right"/>
    </xf>
    <xf numFmtId="3" fontId="6" fillId="24" borderId="0" xfId="0" applyNumberFormat="1" applyFont="1" applyFill="1" applyAlignment="1">
      <alignment/>
    </xf>
    <xf numFmtId="0" fontId="5" fillId="24" borderId="0" xfId="0" applyFont="1" applyFill="1" applyAlignment="1">
      <alignment/>
    </xf>
    <xf numFmtId="3" fontId="5" fillId="24" borderId="0" xfId="0" applyNumberFormat="1" applyFont="1" applyFill="1" applyAlignment="1">
      <alignment horizontal="left"/>
    </xf>
    <xf numFmtId="3" fontId="6" fillId="24" borderId="0" xfId="0" applyNumberFormat="1" applyFont="1" applyFill="1" applyBorder="1" applyAlignment="1">
      <alignment horizontal="right"/>
    </xf>
    <xf numFmtId="3" fontId="6" fillId="24" borderId="0" xfId="0" applyNumberFormat="1" applyFont="1" applyFill="1" applyBorder="1" applyAlignment="1">
      <alignment wrapText="1"/>
    </xf>
    <xf numFmtId="3" fontId="25" fillId="24" borderId="21" xfId="0" applyNumberFormat="1" applyFont="1" applyFill="1" applyBorder="1" applyAlignment="1">
      <alignment horizontal="center" vertical="center"/>
    </xf>
    <xf numFmtId="3" fontId="25" fillId="24" borderId="22" xfId="0" applyNumberFormat="1" applyFont="1" applyFill="1" applyBorder="1" applyAlignment="1" applyProtection="1">
      <alignment horizontal="center" vertical="center" wrapText="1"/>
      <protection/>
    </xf>
    <xf numFmtId="3" fontId="5" fillId="24" borderId="22" xfId="0" applyNumberFormat="1" applyFont="1" applyFill="1" applyBorder="1" applyAlignment="1" applyProtection="1">
      <alignment horizontal="center" vertical="center" wrapText="1"/>
      <protection/>
    </xf>
    <xf numFmtId="3" fontId="5" fillId="24" borderId="23" xfId="53" applyNumberFormat="1" applyFont="1" applyFill="1" applyBorder="1" applyAlignment="1">
      <alignment horizontal="center" vertical="center" wrapText="1"/>
      <protection/>
    </xf>
    <xf numFmtId="3" fontId="5" fillId="24" borderId="22" xfId="54" applyNumberFormat="1" applyFont="1" applyFill="1" applyBorder="1" applyAlignment="1">
      <alignment vertical="center" wrapText="1"/>
      <protection/>
    </xf>
    <xf numFmtId="3" fontId="5" fillId="24" borderId="24" xfId="54" applyNumberFormat="1" applyFont="1" applyFill="1" applyBorder="1" applyAlignment="1">
      <alignment vertical="center" wrapText="1"/>
      <protection/>
    </xf>
    <xf numFmtId="0" fontId="5" fillId="24" borderId="24" xfId="54" applyFont="1" applyFill="1" applyBorder="1" applyAlignment="1">
      <alignment vertical="center" wrapText="1"/>
      <protection/>
    </xf>
    <xf numFmtId="0" fontId="5" fillId="24" borderId="22" xfId="54" applyFont="1" applyFill="1" applyBorder="1" applyAlignment="1">
      <alignment vertical="center" wrapText="1"/>
      <protection/>
    </xf>
    <xf numFmtId="0" fontId="5" fillId="24" borderId="25" xfId="54" applyFont="1" applyFill="1" applyBorder="1" applyAlignment="1">
      <alignment vertical="center" wrapText="1"/>
      <protection/>
    </xf>
    <xf numFmtId="3" fontId="6" fillId="24" borderId="26" xfId="50" applyNumberFormat="1" applyFont="1" applyFill="1" applyBorder="1" applyAlignment="1" applyProtection="1">
      <alignment horizontal="center" vertical="center" wrapText="1"/>
      <protection/>
    </xf>
    <xf numFmtId="3" fontId="6" fillId="24" borderId="21" xfId="0" applyNumberFormat="1" applyFont="1" applyFill="1" applyBorder="1" applyAlignment="1">
      <alignment/>
    </xf>
    <xf numFmtId="3" fontId="6" fillId="24" borderId="22" xfId="0" applyNumberFormat="1" applyFont="1" applyFill="1" applyBorder="1" applyAlignment="1">
      <alignment wrapText="1"/>
    </xf>
    <xf numFmtId="3" fontId="6" fillId="24" borderId="24" xfId="0" applyNumberFormat="1" applyFont="1" applyFill="1" applyBorder="1" applyAlignment="1">
      <alignment/>
    </xf>
    <xf numFmtId="3" fontId="6" fillId="24" borderId="26" xfId="0" applyNumberFormat="1" applyFont="1" applyFill="1" applyBorder="1" applyAlignment="1">
      <alignment/>
    </xf>
    <xf numFmtId="3" fontId="6" fillId="24" borderId="27" xfId="0" applyNumberFormat="1" applyFont="1" applyFill="1" applyBorder="1" applyAlignment="1">
      <alignment horizontal="right"/>
    </xf>
    <xf numFmtId="3" fontId="6" fillId="24" borderId="28" xfId="0" applyNumberFormat="1" applyFont="1" applyFill="1" applyBorder="1" applyAlignment="1">
      <alignment wrapText="1"/>
    </xf>
    <xf numFmtId="3" fontId="5" fillId="24" borderId="28" xfId="0" applyNumberFormat="1" applyFont="1" applyFill="1" applyBorder="1" applyAlignment="1">
      <alignment/>
    </xf>
    <xf numFmtId="3" fontId="6" fillId="24" borderId="14" xfId="0" applyNumberFormat="1" applyFont="1" applyFill="1" applyBorder="1" applyAlignment="1">
      <alignment/>
    </xf>
    <xf numFmtId="3" fontId="6" fillId="24" borderId="29" xfId="0" applyNumberFormat="1" applyFont="1" applyFill="1" applyBorder="1" applyAlignment="1">
      <alignment/>
    </xf>
    <xf numFmtId="3" fontId="6" fillId="24" borderId="30" xfId="0" applyNumberFormat="1" applyFont="1" applyFill="1" applyBorder="1" applyAlignment="1">
      <alignment/>
    </xf>
    <xf numFmtId="3" fontId="6" fillId="24" borderId="31" xfId="0" applyNumberFormat="1" applyFont="1" applyFill="1" applyBorder="1" applyAlignment="1">
      <alignment/>
    </xf>
    <xf numFmtId="49" fontId="6" fillId="24" borderId="27" xfId="0" applyNumberFormat="1" applyFont="1" applyFill="1" applyBorder="1" applyAlignment="1">
      <alignment horizontal="right"/>
    </xf>
    <xf numFmtId="3" fontId="6" fillId="24" borderId="28" xfId="0" applyNumberFormat="1" applyFont="1" applyFill="1" applyBorder="1" applyAlignment="1">
      <alignment/>
    </xf>
    <xf numFmtId="3" fontId="6" fillId="24" borderId="32" xfId="0" applyNumberFormat="1" applyFont="1" applyFill="1" applyBorder="1" applyAlignment="1">
      <alignment/>
    </xf>
    <xf numFmtId="3" fontId="6" fillId="24" borderId="33" xfId="0" applyNumberFormat="1" applyFont="1" applyFill="1" applyBorder="1" applyAlignment="1">
      <alignment/>
    </xf>
    <xf numFmtId="3" fontId="6" fillId="24" borderId="34" xfId="0" applyNumberFormat="1" applyFont="1" applyFill="1" applyBorder="1" applyAlignment="1">
      <alignment horizontal="right"/>
    </xf>
    <xf numFmtId="3" fontId="6" fillId="24" borderId="10" xfId="0" applyNumberFormat="1" applyFont="1" applyFill="1" applyBorder="1" applyAlignment="1">
      <alignment wrapText="1"/>
    </xf>
    <xf numFmtId="3" fontId="5" fillId="24" borderId="34" xfId="0" applyNumberFormat="1" applyFont="1" applyFill="1" applyBorder="1" applyAlignment="1">
      <alignment horizontal="right"/>
    </xf>
    <xf numFmtId="3" fontId="6" fillId="24" borderId="10" xfId="0" applyNumberFormat="1" applyFont="1" applyFill="1" applyBorder="1" applyAlignment="1">
      <alignment horizontal="left" wrapText="1"/>
    </xf>
    <xf numFmtId="3" fontId="5" fillId="24" borderId="34" xfId="0" applyNumberFormat="1" applyFont="1" applyFill="1" applyBorder="1" applyAlignment="1">
      <alignment horizontal="right" wrapText="1"/>
    </xf>
    <xf numFmtId="3" fontId="5" fillId="24" borderId="13" xfId="0" applyNumberFormat="1" applyFont="1" applyFill="1" applyBorder="1" applyAlignment="1">
      <alignment wrapText="1"/>
    </xf>
    <xf numFmtId="3" fontId="5" fillId="24" borderId="16" xfId="0" applyNumberFormat="1" applyFont="1" applyFill="1" applyBorder="1" applyAlignment="1">
      <alignment/>
    </xf>
    <xf numFmtId="49" fontId="5" fillId="24" borderId="34" xfId="0" applyNumberFormat="1" applyFont="1" applyFill="1" applyBorder="1" applyAlignment="1">
      <alignment horizontal="right" wrapText="1"/>
    </xf>
    <xf numFmtId="3" fontId="5" fillId="24" borderId="35" xfId="0" applyNumberFormat="1" applyFont="1" applyFill="1" applyBorder="1" applyAlignment="1">
      <alignment/>
    </xf>
    <xf numFmtId="3" fontId="6" fillId="24" borderId="36" xfId="0" applyNumberFormat="1" applyFont="1" applyFill="1" applyBorder="1" applyAlignment="1">
      <alignment horizontal="right"/>
    </xf>
    <xf numFmtId="3" fontId="6" fillId="24" borderId="13" xfId="0" applyNumberFormat="1" applyFont="1" applyFill="1" applyBorder="1" applyAlignment="1">
      <alignment wrapText="1"/>
    </xf>
    <xf numFmtId="3" fontId="6" fillId="24" borderId="13" xfId="0" applyNumberFormat="1" applyFont="1" applyFill="1" applyBorder="1" applyAlignment="1">
      <alignment/>
    </xf>
    <xf numFmtId="3" fontId="6" fillId="24" borderId="37" xfId="0" applyNumberFormat="1" applyFont="1" applyFill="1" applyBorder="1" applyAlignment="1">
      <alignment/>
    </xf>
    <xf numFmtId="3" fontId="6" fillId="24" borderId="0" xfId="0" applyNumberFormat="1" applyFont="1" applyFill="1" applyBorder="1" applyAlignment="1">
      <alignment/>
    </xf>
    <xf numFmtId="3" fontId="6" fillId="24" borderId="38" xfId="0" applyNumberFormat="1" applyFont="1" applyFill="1" applyBorder="1" applyAlignment="1">
      <alignment/>
    </xf>
    <xf numFmtId="0" fontId="6" fillId="24" borderId="0" xfId="0" applyFont="1" applyFill="1" applyAlignment="1">
      <alignment/>
    </xf>
    <xf numFmtId="3" fontId="6" fillId="24" borderId="21" xfId="0" applyNumberFormat="1" applyFont="1" applyFill="1" applyBorder="1" applyAlignment="1">
      <alignment horizontal="left"/>
    </xf>
    <xf numFmtId="3" fontId="6" fillId="24" borderId="22" xfId="0" applyNumberFormat="1" applyFont="1" applyFill="1" applyBorder="1" applyAlignment="1">
      <alignment/>
    </xf>
    <xf numFmtId="3" fontId="5" fillId="24" borderId="30" xfId="0" applyNumberFormat="1" applyFont="1" applyFill="1" applyBorder="1" applyAlignment="1">
      <alignment/>
    </xf>
    <xf numFmtId="3" fontId="6" fillId="24" borderId="11" xfId="0" applyNumberFormat="1" applyFont="1" applyFill="1" applyBorder="1" applyAlignment="1">
      <alignment horizontal="right"/>
    </xf>
    <xf numFmtId="3" fontId="6" fillId="24" borderId="39" xfId="0" applyNumberFormat="1" applyFont="1" applyFill="1" applyBorder="1" applyAlignment="1">
      <alignment wrapText="1"/>
    </xf>
    <xf numFmtId="3" fontId="5" fillId="24" borderId="11" xfId="0" applyNumberFormat="1" applyFont="1" applyFill="1" applyBorder="1" applyAlignment="1">
      <alignment horizontal="right"/>
    </xf>
    <xf numFmtId="3" fontId="5" fillId="24" borderId="13" xfId="51" applyNumberFormat="1" applyFont="1" applyFill="1" applyBorder="1" applyAlignment="1">
      <alignment horizontal="left" wrapText="1"/>
      <protection/>
    </xf>
    <xf numFmtId="49" fontId="5" fillId="24" borderId="40" xfId="0" applyNumberFormat="1" applyFont="1" applyFill="1" applyBorder="1" applyAlignment="1">
      <alignment horizontal="right"/>
    </xf>
    <xf numFmtId="3" fontId="5" fillId="24" borderId="39" xfId="0" applyNumberFormat="1" applyFont="1" applyFill="1" applyBorder="1" applyAlignment="1">
      <alignment/>
    </xf>
    <xf numFmtId="3" fontId="6" fillId="24" borderId="10" xfId="0" applyNumberFormat="1" applyFont="1" applyFill="1" applyBorder="1" applyAlignment="1">
      <alignment horizontal="right"/>
    </xf>
    <xf numFmtId="3" fontId="6" fillId="24" borderId="39" xfId="57" applyNumberFormat="1" applyFont="1" applyFill="1" applyBorder="1" applyAlignment="1">
      <alignment horizontal="right"/>
      <protection/>
    </xf>
    <xf numFmtId="3" fontId="6" fillId="24" borderId="39" xfId="57" applyNumberFormat="1" applyFont="1" applyFill="1" applyBorder="1" applyAlignment="1">
      <alignment wrapText="1"/>
      <protection/>
    </xf>
    <xf numFmtId="3" fontId="6" fillId="24" borderId="18" xfId="0" applyNumberFormat="1" applyFont="1" applyFill="1" applyBorder="1" applyAlignment="1">
      <alignment/>
    </xf>
    <xf numFmtId="3" fontId="5" fillId="24" borderId="27" xfId="0" applyNumberFormat="1" applyFont="1" applyFill="1" applyBorder="1" applyAlignment="1">
      <alignment horizontal="right"/>
    </xf>
    <xf numFmtId="3" fontId="5" fillId="24" borderId="10" xfId="0" applyNumberFormat="1" applyFont="1" applyFill="1" applyBorder="1" applyAlignment="1">
      <alignment horizontal="left" wrapText="1"/>
    </xf>
    <xf numFmtId="3" fontId="5" fillId="24" borderId="10" xfId="0" applyNumberFormat="1" applyFont="1" applyFill="1" applyBorder="1" applyAlignment="1">
      <alignment horizontal="left"/>
    </xf>
    <xf numFmtId="49" fontId="5" fillId="24" borderId="27" xfId="57" applyNumberFormat="1" applyFont="1" applyFill="1" applyBorder="1" applyAlignment="1">
      <alignment horizontal="right"/>
      <protection/>
    </xf>
    <xf numFmtId="0" fontId="5" fillId="24" borderId="16" xfId="51" applyFont="1" applyFill="1" applyBorder="1" applyAlignment="1">
      <alignment horizontal="left" wrapText="1"/>
      <protection/>
    </xf>
    <xf numFmtId="0" fontId="5" fillId="24" borderId="13" xfId="57" applyFont="1" applyFill="1" applyBorder="1" applyAlignment="1">
      <alignment horizontal="left" wrapText="1"/>
      <protection/>
    </xf>
    <xf numFmtId="3" fontId="5" fillId="24" borderId="10" xfId="51" applyNumberFormat="1" applyFont="1" applyFill="1" applyBorder="1" applyAlignment="1">
      <alignment horizontal="left" wrapText="1"/>
      <protection/>
    </xf>
    <xf numFmtId="49" fontId="5" fillId="24" borderId="34" xfId="0" applyNumberFormat="1" applyFont="1" applyFill="1" applyBorder="1" applyAlignment="1">
      <alignment horizontal="right"/>
    </xf>
    <xf numFmtId="0" fontId="5" fillId="24" borderId="10" xfId="0" applyFont="1" applyFill="1" applyBorder="1" applyAlignment="1">
      <alignment/>
    </xf>
    <xf numFmtId="0" fontId="5" fillId="24" borderId="15" xfId="0" applyFont="1" applyFill="1" applyBorder="1" applyAlignment="1">
      <alignment/>
    </xf>
    <xf numFmtId="0" fontId="5" fillId="24" borderId="28" xfId="51" applyFont="1" applyFill="1" applyBorder="1" applyAlignment="1">
      <alignment horizontal="left" wrapText="1"/>
      <protection/>
    </xf>
    <xf numFmtId="3" fontId="5" fillId="24" borderId="28" xfId="0" applyNumberFormat="1" applyFont="1" applyFill="1" applyBorder="1" applyAlignment="1">
      <alignment horizontal="left" wrapText="1"/>
    </xf>
    <xf numFmtId="49" fontId="5" fillId="24" borderId="34" xfId="57" applyNumberFormat="1" applyFont="1" applyFill="1" applyBorder="1" applyAlignment="1">
      <alignment horizontal="right"/>
      <protection/>
    </xf>
    <xf numFmtId="0" fontId="5" fillId="24" borderId="13" xfId="0" applyFont="1" applyFill="1" applyBorder="1" applyAlignment="1">
      <alignment horizontal="left" wrapText="1"/>
    </xf>
    <xf numFmtId="0" fontId="25" fillId="24" borderId="28" xfId="51" applyFont="1" applyFill="1" applyBorder="1" applyAlignment="1">
      <alignment horizontal="left" wrapText="1"/>
      <protection/>
    </xf>
    <xf numFmtId="0" fontId="5" fillId="24" borderId="28" xfId="51" applyFont="1" applyFill="1" applyBorder="1" applyAlignment="1">
      <alignment wrapText="1"/>
      <protection/>
    </xf>
    <xf numFmtId="3" fontId="6" fillId="24" borderId="28" xfId="0" applyNumberFormat="1" applyFont="1" applyFill="1" applyBorder="1" applyAlignment="1">
      <alignment horizontal="left" wrapText="1"/>
    </xf>
    <xf numFmtId="3" fontId="6" fillId="24" borderId="34" xfId="57" applyNumberFormat="1" applyFont="1" applyFill="1" applyBorder="1" applyAlignment="1">
      <alignment horizontal="right"/>
      <protection/>
    </xf>
    <xf numFmtId="3" fontId="6" fillId="24" borderId="10" xfId="57" applyNumberFormat="1" applyFont="1" applyFill="1" applyBorder="1" applyAlignment="1">
      <alignment wrapText="1"/>
      <protection/>
    </xf>
    <xf numFmtId="3" fontId="5" fillId="24" borderId="39" xfId="57" applyNumberFormat="1" applyFont="1" applyFill="1" applyBorder="1" applyAlignment="1">
      <alignment wrapText="1"/>
      <protection/>
    </xf>
    <xf numFmtId="3" fontId="5" fillId="24" borderId="10" xfId="57" applyNumberFormat="1" applyFont="1" applyFill="1" applyBorder="1" applyAlignment="1">
      <alignment wrapText="1"/>
      <protection/>
    </xf>
    <xf numFmtId="49" fontId="5" fillId="24" borderId="41" xfId="57" applyNumberFormat="1" applyFont="1" applyFill="1" applyBorder="1" applyAlignment="1">
      <alignment horizontal="right"/>
      <protection/>
    </xf>
    <xf numFmtId="3" fontId="5" fillId="24" borderId="42" xfId="0" applyNumberFormat="1" applyFont="1" applyFill="1" applyBorder="1" applyAlignment="1">
      <alignment/>
    </xf>
    <xf numFmtId="3" fontId="6" fillId="24" borderId="43" xfId="0" applyNumberFormat="1" applyFont="1" applyFill="1" applyBorder="1" applyAlignment="1">
      <alignment/>
    </xf>
    <xf numFmtId="3" fontId="6" fillId="24" borderId="22" xfId="0" applyNumberFormat="1" applyFont="1" applyFill="1" applyBorder="1" applyAlignment="1">
      <alignment horizontal="left" wrapText="1"/>
    </xf>
    <xf numFmtId="3" fontId="6" fillId="24" borderId="11" xfId="0" applyNumberFormat="1" applyFont="1" applyFill="1" applyBorder="1" applyAlignment="1">
      <alignment/>
    </xf>
    <xf numFmtId="3" fontId="6" fillId="24" borderId="35" xfId="0" applyNumberFormat="1" applyFont="1" applyFill="1" applyBorder="1" applyAlignment="1">
      <alignment/>
    </xf>
    <xf numFmtId="3" fontId="5" fillId="24" borderId="36" xfId="0" applyNumberFormat="1" applyFont="1" applyFill="1" applyBorder="1" applyAlignment="1">
      <alignment horizontal="right"/>
    </xf>
    <xf numFmtId="3" fontId="2" fillId="24" borderId="10" xfId="0" applyNumberFormat="1" applyFont="1" applyFill="1" applyBorder="1" applyAlignment="1">
      <alignment/>
    </xf>
    <xf numFmtId="3" fontId="5" fillId="24" borderId="28" xfId="51" applyNumberFormat="1" applyFont="1" applyFill="1" applyBorder="1" applyAlignment="1">
      <alignment horizontal="left" wrapText="1"/>
      <protection/>
    </xf>
    <xf numFmtId="3" fontId="5" fillId="24" borderId="41" xfId="0" applyNumberFormat="1" applyFont="1" applyFill="1" applyBorder="1" applyAlignment="1">
      <alignment horizontal="right"/>
    </xf>
    <xf numFmtId="3" fontId="6" fillId="24" borderId="42" xfId="0" applyNumberFormat="1" applyFont="1" applyFill="1" applyBorder="1" applyAlignment="1">
      <alignment/>
    </xf>
    <xf numFmtId="3" fontId="2" fillId="24" borderId="11" xfId="0" applyNumberFormat="1" applyFont="1" applyFill="1" applyBorder="1" applyAlignment="1">
      <alignment/>
    </xf>
    <xf numFmtId="3" fontId="5" fillId="24" borderId="11" xfId="0" applyNumberFormat="1" applyFont="1" applyFill="1" applyBorder="1" applyAlignment="1">
      <alignment horizontal="left" wrapText="1"/>
    </xf>
    <xf numFmtId="0" fontId="25" fillId="24" borderId="10" xfId="57" applyFont="1" applyFill="1" applyBorder="1" applyAlignment="1">
      <alignment horizontal="left" wrapText="1"/>
      <protection/>
    </xf>
    <xf numFmtId="0" fontId="5" fillId="24" borderId="10" xfId="57" applyFont="1" applyFill="1" applyBorder="1" applyAlignment="1">
      <alignment horizontal="left" wrapText="1"/>
      <protection/>
    </xf>
    <xf numFmtId="49" fontId="5" fillId="24" borderId="10" xfId="57" applyNumberFormat="1" applyFont="1" applyFill="1" applyBorder="1" applyAlignment="1">
      <alignment horizontal="right"/>
      <protection/>
    </xf>
    <xf numFmtId="49" fontId="5" fillId="24" borderId="40" xfId="57" applyNumberFormat="1" applyFont="1" applyFill="1" applyBorder="1" applyAlignment="1">
      <alignment horizontal="right"/>
      <protection/>
    </xf>
    <xf numFmtId="0" fontId="5" fillId="24" borderId="39" xfId="57" applyFont="1" applyFill="1" applyBorder="1" applyAlignment="1">
      <alignment horizontal="left" wrapText="1"/>
      <protection/>
    </xf>
    <xf numFmtId="0" fontId="0" fillId="24" borderId="10" xfId="0" applyFont="1" applyFill="1" applyBorder="1" applyAlignment="1">
      <alignment wrapText="1"/>
    </xf>
    <xf numFmtId="0" fontId="5" fillId="24" borderId="10" xfId="57" applyFont="1" applyFill="1" applyBorder="1" applyAlignment="1">
      <alignment wrapText="1"/>
      <protection/>
    </xf>
    <xf numFmtId="0" fontId="5" fillId="24" borderId="39" xfId="57" applyFont="1" applyFill="1" applyBorder="1" applyAlignment="1">
      <alignment wrapText="1"/>
      <protection/>
    </xf>
    <xf numFmtId="1" fontId="5" fillId="24" borderId="10" xfId="0" applyNumberFormat="1" applyFont="1" applyFill="1" applyBorder="1" applyAlignment="1">
      <alignment/>
    </xf>
    <xf numFmtId="3" fontId="2" fillId="24" borderId="10" xfId="0" applyNumberFormat="1" applyFont="1" applyFill="1" applyBorder="1" applyAlignment="1">
      <alignment/>
    </xf>
    <xf numFmtId="3" fontId="5" fillId="24" borderId="13" xfId="0" applyNumberFormat="1" applyFont="1" applyFill="1" applyBorder="1" applyAlignment="1">
      <alignment horizontal="left" wrapText="1"/>
    </xf>
    <xf numFmtId="0" fontId="5" fillId="24" borderId="10" xfId="51" applyFont="1" applyFill="1" applyBorder="1" applyAlignment="1">
      <alignment horizontal="left" wrapText="1"/>
      <protection/>
    </xf>
    <xf numFmtId="0" fontId="5" fillId="24" borderId="13" xfId="51" applyFont="1" applyFill="1" applyBorder="1" applyAlignment="1">
      <alignment horizontal="left" wrapText="1"/>
      <protection/>
    </xf>
    <xf numFmtId="3" fontId="6" fillId="24" borderId="13" xfId="0" applyNumberFormat="1" applyFont="1" applyFill="1" applyBorder="1" applyAlignment="1">
      <alignment horizontal="left" wrapText="1"/>
    </xf>
    <xf numFmtId="49" fontId="6" fillId="24" borderId="34" xfId="57" applyNumberFormat="1" applyFont="1" applyFill="1" applyBorder="1" applyAlignment="1">
      <alignment horizontal="right"/>
      <protection/>
    </xf>
    <xf numFmtId="49" fontId="6" fillId="24" borderId="36" xfId="57" applyNumberFormat="1" applyFont="1" applyFill="1" applyBorder="1" applyAlignment="1">
      <alignment horizontal="right"/>
      <protection/>
    </xf>
    <xf numFmtId="3" fontId="6" fillId="24" borderId="39" xfId="0" applyNumberFormat="1" applyFont="1" applyFill="1" applyBorder="1" applyAlignment="1">
      <alignment/>
    </xf>
    <xf numFmtId="49" fontId="6" fillId="24" borderId="10" xfId="57" applyNumberFormat="1" applyFont="1" applyFill="1" applyBorder="1" applyAlignment="1">
      <alignment horizontal="right"/>
      <protection/>
    </xf>
    <xf numFmtId="3" fontId="6" fillId="24" borderId="35" xfId="0" applyNumberFormat="1" applyFont="1" applyFill="1" applyBorder="1" applyAlignment="1">
      <alignment wrapText="1"/>
    </xf>
    <xf numFmtId="3" fontId="5" fillId="24" borderId="35" xfId="0" applyNumberFormat="1" applyFont="1" applyFill="1" applyBorder="1" applyAlignment="1">
      <alignment wrapText="1"/>
    </xf>
    <xf numFmtId="49" fontId="5" fillId="24" borderId="44" xfId="57" applyNumberFormat="1" applyFont="1" applyFill="1" applyBorder="1" applyAlignment="1">
      <alignment horizontal="right"/>
      <protection/>
    </xf>
    <xf numFmtId="3" fontId="5" fillId="24" borderId="0" xfId="0" applyNumberFormat="1" applyFont="1" applyFill="1" applyBorder="1" applyAlignment="1">
      <alignment wrapText="1"/>
    </xf>
    <xf numFmtId="3" fontId="6" fillId="24" borderId="45" xfId="0" applyNumberFormat="1" applyFont="1" applyFill="1" applyBorder="1" applyAlignment="1">
      <alignment horizontal="left"/>
    </xf>
    <xf numFmtId="3" fontId="5" fillId="24" borderId="10" xfId="52" applyNumberFormat="1" applyFont="1" applyFill="1" applyBorder="1" applyAlignment="1">
      <alignment horizontal="left" wrapText="1"/>
      <protection/>
    </xf>
    <xf numFmtId="3" fontId="2" fillId="24" borderId="15" xfId="0" applyNumberFormat="1" applyFont="1" applyFill="1" applyBorder="1" applyAlignment="1">
      <alignment/>
    </xf>
    <xf numFmtId="49" fontId="5" fillId="24" borderId="11" xfId="0" applyNumberFormat="1" applyFont="1" applyFill="1" applyBorder="1" applyAlignment="1">
      <alignment horizontal="right"/>
    </xf>
    <xf numFmtId="3" fontId="6" fillId="24" borderId="46" xfId="0" applyNumberFormat="1" applyFont="1" applyFill="1" applyBorder="1" applyAlignment="1">
      <alignment/>
    </xf>
    <xf numFmtId="3" fontId="6" fillId="24" borderId="47" xfId="0" applyNumberFormat="1" applyFont="1" applyFill="1" applyBorder="1" applyAlignment="1">
      <alignment horizontal="right"/>
    </xf>
    <xf numFmtId="3" fontId="6" fillId="24" borderId="48" xfId="0" applyNumberFormat="1" applyFont="1" applyFill="1" applyBorder="1" applyAlignment="1">
      <alignment wrapText="1"/>
    </xf>
    <xf numFmtId="3" fontId="6" fillId="24" borderId="49" xfId="0" applyNumberFormat="1" applyFont="1" applyFill="1" applyBorder="1" applyAlignment="1">
      <alignment/>
    </xf>
    <xf numFmtId="3" fontId="6" fillId="24" borderId="50" xfId="0" applyNumberFormat="1" applyFont="1" applyFill="1" applyBorder="1" applyAlignment="1">
      <alignment/>
    </xf>
    <xf numFmtId="3" fontId="6" fillId="24" borderId="51" xfId="0" applyNumberFormat="1" applyFont="1" applyFill="1" applyBorder="1" applyAlignment="1">
      <alignment/>
    </xf>
    <xf numFmtId="3" fontId="5" fillId="24" borderId="52" xfId="0" applyNumberFormat="1" applyFont="1" applyFill="1" applyBorder="1" applyAlignment="1">
      <alignment/>
    </xf>
    <xf numFmtId="3" fontId="5" fillId="24" borderId="50" xfId="0" applyNumberFormat="1" applyFont="1" applyFill="1" applyBorder="1" applyAlignment="1">
      <alignment/>
    </xf>
    <xf numFmtId="3" fontId="5" fillId="24" borderId="27" xfId="57" applyNumberFormat="1" applyFont="1" applyFill="1" applyBorder="1" applyAlignment="1">
      <alignment horizontal="right"/>
      <protection/>
    </xf>
    <xf numFmtId="3" fontId="25" fillId="24" borderId="10" xfId="51" applyNumberFormat="1" applyFont="1" applyFill="1" applyBorder="1" applyAlignment="1">
      <alignment horizontal="left" wrapText="1"/>
      <protection/>
    </xf>
    <xf numFmtId="3" fontId="25" fillId="24" borderId="39" xfId="51" applyNumberFormat="1" applyFont="1" applyFill="1" applyBorder="1" applyAlignment="1">
      <alignment horizontal="left" wrapText="1"/>
      <protection/>
    </xf>
    <xf numFmtId="3" fontId="5" fillId="24" borderId="0" xfId="0" applyNumberFormat="1" applyFont="1" applyFill="1" applyAlignment="1">
      <alignment horizontal="center" wrapText="1"/>
    </xf>
    <xf numFmtId="3" fontId="25" fillId="24" borderId="13" xfId="51" applyNumberFormat="1" applyFont="1" applyFill="1" applyBorder="1" applyAlignment="1">
      <alignment horizontal="left" wrapText="1"/>
      <protection/>
    </xf>
    <xf numFmtId="3" fontId="5" fillId="24" borderId="10" xfId="0" applyNumberFormat="1" applyFont="1" applyFill="1" applyBorder="1" applyAlignment="1">
      <alignment horizontal="left" wrapText="1"/>
    </xf>
    <xf numFmtId="3" fontId="5" fillId="24" borderId="10" xfId="0" applyNumberFormat="1" applyFont="1" applyFill="1" applyBorder="1" applyAlignment="1">
      <alignment horizontal="right"/>
    </xf>
    <xf numFmtId="3" fontId="5" fillId="24" borderId="10" xfId="57" applyNumberFormat="1" applyFont="1" applyFill="1" applyBorder="1" applyAlignment="1">
      <alignment horizontal="right"/>
      <protection/>
    </xf>
    <xf numFmtId="0" fontId="5" fillId="24" borderId="10" xfId="52" applyFont="1" applyFill="1" applyBorder="1" applyAlignment="1">
      <alignment horizontal="left" vertical="center" wrapText="1"/>
      <protection/>
    </xf>
    <xf numFmtId="0" fontId="5" fillId="24" borderId="10" xfId="52" applyFont="1" applyFill="1" applyBorder="1" applyAlignment="1">
      <alignment horizontal="left" wrapText="1"/>
      <protection/>
    </xf>
    <xf numFmtId="0" fontId="5" fillId="24" borderId="15" xfId="0" applyFont="1" applyFill="1" applyBorder="1" applyAlignment="1">
      <alignment horizontal="left" wrapText="1"/>
    </xf>
    <xf numFmtId="49" fontId="5" fillId="24" borderId="11" xfId="57" applyNumberFormat="1" applyFont="1" applyFill="1" applyBorder="1" applyAlignment="1">
      <alignment horizontal="right"/>
      <protection/>
    </xf>
    <xf numFmtId="49" fontId="6" fillId="24" borderId="53" xfId="0" applyNumberFormat="1" applyFont="1" applyFill="1" applyBorder="1" applyAlignment="1">
      <alignment horizontal="right"/>
    </xf>
    <xf numFmtId="3" fontId="6" fillId="24" borderId="14" xfId="0" applyNumberFormat="1" applyFont="1" applyFill="1" applyBorder="1" applyAlignment="1">
      <alignment wrapText="1"/>
    </xf>
    <xf numFmtId="0" fontId="25" fillId="24" borderId="39" xfId="51" applyFont="1" applyFill="1" applyBorder="1" applyAlignment="1">
      <alignment horizontal="left" wrapText="1"/>
      <protection/>
    </xf>
    <xf numFmtId="0" fontId="5" fillId="24" borderId="39" xfId="51" applyFont="1" applyFill="1" applyBorder="1" applyAlignment="1">
      <alignment horizontal="left" wrapText="1"/>
      <protection/>
    </xf>
    <xf numFmtId="0" fontId="6" fillId="24" borderId="28" xfId="51" applyFont="1" applyFill="1" applyBorder="1" applyAlignment="1">
      <alignment horizontal="left" wrapText="1"/>
      <protection/>
    </xf>
    <xf numFmtId="3" fontId="5" fillId="24" borderId="49" xfId="0" applyNumberFormat="1" applyFont="1" applyFill="1" applyBorder="1" applyAlignment="1">
      <alignment/>
    </xf>
    <xf numFmtId="3" fontId="5" fillId="24" borderId="37" xfId="0" applyNumberFormat="1" applyFont="1" applyFill="1" applyBorder="1" applyAlignment="1">
      <alignment/>
    </xf>
    <xf numFmtId="3" fontId="5" fillId="24" borderId="0" xfId="0" applyNumberFormat="1" applyFont="1" applyFill="1" applyBorder="1" applyAlignment="1">
      <alignment/>
    </xf>
    <xf numFmtId="3" fontId="5" fillId="24" borderId="21" xfId="0" applyNumberFormat="1" applyFont="1" applyFill="1" applyBorder="1" applyAlignment="1">
      <alignment/>
    </xf>
    <xf numFmtId="3" fontId="6" fillId="24" borderId="0" xfId="0" applyNumberFormat="1" applyFont="1" applyFill="1" applyBorder="1" applyAlignment="1">
      <alignment horizontal="left" wrapText="1"/>
    </xf>
    <xf numFmtId="3" fontId="5" fillId="24" borderId="0" xfId="0" applyNumberFormat="1" applyFont="1" applyFill="1" applyBorder="1" applyAlignment="1" applyProtection="1">
      <alignment/>
      <protection/>
    </xf>
    <xf numFmtId="3" fontId="5" fillId="24" borderId="0" xfId="50" applyNumberFormat="1" applyFont="1" applyFill="1" applyBorder="1" applyAlignment="1">
      <alignment horizontal="left" wrapText="1"/>
      <protection/>
    </xf>
    <xf numFmtId="3" fontId="5" fillId="24" borderId="0" xfId="0" applyNumberFormat="1" applyFont="1" applyFill="1" applyBorder="1" applyAlignment="1">
      <alignment horizontal="right" wrapText="1"/>
    </xf>
    <xf numFmtId="3" fontId="5" fillId="24" borderId="0" xfId="0" applyNumberFormat="1" applyFont="1" applyFill="1" applyAlignment="1">
      <alignment wrapText="1"/>
    </xf>
    <xf numFmtId="3" fontId="2" fillId="24" borderId="0" xfId="0" applyNumberFormat="1" applyFont="1" applyFill="1" applyBorder="1" applyAlignment="1">
      <alignment/>
    </xf>
    <xf numFmtId="3" fontId="6" fillId="24" borderId="53" xfId="0" applyNumberFormat="1" applyFont="1" applyFill="1" applyBorder="1" applyAlignment="1">
      <alignment horizontal="left"/>
    </xf>
    <xf numFmtId="3" fontId="5" fillId="24" borderId="14" xfId="0" applyNumberFormat="1" applyFont="1" applyFill="1" applyBorder="1" applyAlignment="1">
      <alignment wrapText="1"/>
    </xf>
    <xf numFmtId="3" fontId="5" fillId="24" borderId="14" xfId="0" applyNumberFormat="1" applyFont="1" applyFill="1" applyBorder="1" applyAlignment="1">
      <alignment/>
    </xf>
    <xf numFmtId="3" fontId="2" fillId="24" borderId="29" xfId="0" applyNumberFormat="1" applyFont="1" applyFill="1" applyBorder="1" applyAlignment="1">
      <alignment/>
    </xf>
    <xf numFmtId="3" fontId="5" fillId="24" borderId="54" xfId="0" applyNumberFormat="1" applyFont="1" applyFill="1" applyBorder="1" applyAlignment="1">
      <alignment/>
    </xf>
    <xf numFmtId="3" fontId="5" fillId="24" borderId="51" xfId="0" applyNumberFormat="1" applyFont="1" applyFill="1" applyBorder="1" applyAlignment="1">
      <alignment/>
    </xf>
    <xf numFmtId="3" fontId="5" fillId="24" borderId="55" xfId="0" applyNumberFormat="1" applyFont="1" applyFill="1" applyBorder="1" applyAlignment="1">
      <alignment/>
    </xf>
    <xf numFmtId="3" fontId="6" fillId="24" borderId="56" xfId="0" applyNumberFormat="1" applyFont="1" applyFill="1" applyBorder="1" applyAlignment="1">
      <alignment/>
    </xf>
    <xf numFmtId="3" fontId="6" fillId="24" borderId="34" xfId="0" applyNumberFormat="1" applyFont="1" applyFill="1" applyBorder="1" applyAlignment="1">
      <alignment horizontal="left"/>
    </xf>
    <xf numFmtId="3" fontId="5" fillId="24" borderId="28" xfId="0" applyNumberFormat="1" applyFont="1" applyFill="1" applyBorder="1" applyAlignment="1">
      <alignment/>
    </xf>
    <xf numFmtId="3" fontId="5" fillId="24" borderId="57" xfId="0" applyNumberFormat="1" applyFont="1" applyFill="1" applyBorder="1" applyAlignment="1">
      <alignment/>
    </xf>
    <xf numFmtId="3" fontId="5" fillId="24" borderId="58" xfId="0" applyNumberFormat="1" applyFont="1" applyFill="1" applyBorder="1" applyAlignment="1">
      <alignment/>
    </xf>
    <xf numFmtId="3" fontId="6" fillId="24" borderId="41" xfId="0" applyNumberFormat="1" applyFont="1" applyFill="1" applyBorder="1" applyAlignment="1">
      <alignment horizontal="left"/>
    </xf>
    <xf numFmtId="3" fontId="6" fillId="24" borderId="24" xfId="0" applyNumberFormat="1" applyFont="1" applyFill="1" applyBorder="1" applyAlignment="1">
      <alignment horizontal="right"/>
    </xf>
    <xf numFmtId="3" fontId="6" fillId="24" borderId="45" xfId="0" applyNumberFormat="1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0" xfId="0" applyFont="1" applyFill="1" applyAlignment="1">
      <alignment wrapText="1"/>
    </xf>
    <xf numFmtId="1" fontId="5" fillId="24" borderId="0" xfId="0" applyNumberFormat="1" applyFont="1" applyFill="1" applyAlignment="1">
      <alignment/>
    </xf>
    <xf numFmtId="0" fontId="5" fillId="24" borderId="0" xfId="55" applyFont="1" applyFill="1" applyAlignment="1">
      <alignment horizontal="left"/>
      <protection/>
    </xf>
    <xf numFmtId="0" fontId="5" fillId="24" borderId="0" xfId="0" applyFont="1" applyFill="1" applyAlignment="1">
      <alignment horizontal="right"/>
    </xf>
    <xf numFmtId="0" fontId="5" fillId="24" borderId="0" xfId="0" applyFont="1" applyFill="1" applyAlignment="1">
      <alignment horizontal="left"/>
    </xf>
    <xf numFmtId="0" fontId="5" fillId="24" borderId="0" xfId="0" applyFont="1" applyFill="1" applyAlignment="1">
      <alignment horizontal="left" wrapText="1"/>
    </xf>
    <xf numFmtId="0" fontId="25" fillId="24" borderId="21" xfId="0" applyFont="1" applyFill="1" applyBorder="1" applyAlignment="1">
      <alignment horizontal="center" vertical="center"/>
    </xf>
    <xf numFmtId="0" fontId="25" fillId="24" borderId="22" xfId="0" applyFont="1" applyFill="1" applyBorder="1" applyAlignment="1" applyProtection="1">
      <alignment horizontal="center" vertical="center" wrapText="1"/>
      <protection/>
    </xf>
    <xf numFmtId="0" fontId="5" fillId="24" borderId="23" xfId="53" applyFont="1" applyFill="1" applyBorder="1" applyAlignment="1">
      <alignment horizontal="center" vertical="center" wrapText="1"/>
      <protection/>
    </xf>
    <xf numFmtId="0" fontId="5" fillId="24" borderId="22" xfId="0" applyFont="1" applyFill="1" applyBorder="1" applyAlignment="1" applyProtection="1">
      <alignment horizontal="center" vertical="center" wrapText="1"/>
      <protection/>
    </xf>
    <xf numFmtId="0" fontId="6" fillId="24" borderId="26" xfId="50" applyFont="1" applyFill="1" applyBorder="1" applyAlignment="1" applyProtection="1">
      <alignment horizontal="center" vertical="center" wrapText="1"/>
      <protection/>
    </xf>
    <xf numFmtId="3" fontId="6" fillId="24" borderId="21" xfId="0" applyNumberFormat="1" applyFont="1" applyFill="1" applyBorder="1" applyAlignment="1">
      <alignment horizontal="right"/>
    </xf>
    <xf numFmtId="3" fontId="5" fillId="24" borderId="27" xfId="0" applyNumberFormat="1" applyFont="1" applyFill="1" applyBorder="1" applyAlignment="1">
      <alignment horizontal="left"/>
    </xf>
    <xf numFmtId="3" fontId="5" fillId="24" borderId="28" xfId="0" applyNumberFormat="1" applyFont="1" applyFill="1" applyBorder="1" applyAlignment="1">
      <alignment wrapText="1"/>
    </xf>
    <xf numFmtId="3" fontId="5" fillId="24" borderId="34" xfId="0" applyNumberFormat="1" applyFont="1" applyFill="1" applyBorder="1" applyAlignment="1">
      <alignment horizontal="left"/>
    </xf>
    <xf numFmtId="3" fontId="5" fillId="24" borderId="46" xfId="0" applyNumberFormat="1" applyFont="1" applyFill="1" applyBorder="1" applyAlignment="1">
      <alignment/>
    </xf>
    <xf numFmtId="1" fontId="5" fillId="24" borderId="11" xfId="0" applyNumberFormat="1" applyFont="1" applyFill="1" applyBorder="1" applyAlignment="1">
      <alignment/>
    </xf>
    <xf numFmtId="0" fontId="5" fillId="24" borderId="36" xfId="0" applyFont="1" applyFill="1" applyBorder="1" applyAlignment="1">
      <alignment horizontal="left"/>
    </xf>
    <xf numFmtId="0" fontId="5" fillId="24" borderId="13" xfId="0" applyFont="1" applyFill="1" applyBorder="1" applyAlignment="1">
      <alignment wrapText="1"/>
    </xf>
    <xf numFmtId="3" fontId="2" fillId="24" borderId="13" xfId="0" applyNumberFormat="1" applyFont="1" applyFill="1" applyBorder="1" applyAlignment="1">
      <alignment/>
    </xf>
    <xf numFmtId="3" fontId="5" fillId="24" borderId="36" xfId="0" applyNumberFormat="1" applyFont="1" applyFill="1" applyBorder="1" applyAlignment="1">
      <alignment horizontal="left"/>
    </xf>
    <xf numFmtId="3" fontId="5" fillId="24" borderId="59" xfId="0" applyNumberFormat="1" applyFont="1" applyFill="1" applyBorder="1" applyAlignment="1">
      <alignment/>
    </xf>
    <xf numFmtId="3" fontId="6" fillId="24" borderId="60" xfId="0" applyNumberFormat="1" applyFont="1" applyFill="1" applyBorder="1" applyAlignment="1">
      <alignment/>
    </xf>
    <xf numFmtId="0" fontId="5" fillId="24" borderId="27" xfId="0" applyFont="1" applyFill="1" applyBorder="1" applyAlignment="1">
      <alignment horizontal="left"/>
    </xf>
    <xf numFmtId="0" fontId="6" fillId="24" borderId="14" xfId="0" applyFont="1" applyFill="1" applyBorder="1" applyAlignment="1">
      <alignment wrapText="1"/>
    </xf>
    <xf numFmtId="3" fontId="6" fillId="24" borderId="20" xfId="0" applyNumberFormat="1" applyFont="1" applyFill="1" applyBorder="1" applyAlignment="1">
      <alignment/>
    </xf>
    <xf numFmtId="3" fontId="5" fillId="24" borderId="32" xfId="0" applyNumberFormat="1" applyFont="1" applyFill="1" applyBorder="1" applyAlignment="1">
      <alignment/>
    </xf>
    <xf numFmtId="3" fontId="5" fillId="24" borderId="53" xfId="0" applyNumberFormat="1" applyFont="1" applyFill="1" applyBorder="1" applyAlignment="1">
      <alignment horizontal="left"/>
    </xf>
    <xf numFmtId="3" fontId="5" fillId="24" borderId="61" xfId="0" applyNumberFormat="1" applyFont="1" applyFill="1" applyBorder="1" applyAlignment="1">
      <alignment/>
    </xf>
    <xf numFmtId="3" fontId="6" fillId="24" borderId="25" xfId="0" applyNumberFormat="1" applyFont="1" applyFill="1" applyBorder="1" applyAlignment="1">
      <alignment/>
    </xf>
    <xf numFmtId="3" fontId="6" fillId="24" borderId="27" xfId="0" applyNumberFormat="1" applyFont="1" applyFill="1" applyBorder="1" applyAlignment="1">
      <alignment horizontal="left"/>
    </xf>
    <xf numFmtId="3" fontId="26" fillId="24" borderId="0" xfId="0" applyNumberFormat="1" applyFont="1" applyFill="1" applyAlignment="1">
      <alignment wrapText="1"/>
    </xf>
    <xf numFmtId="3" fontId="34" fillId="24" borderId="39" xfId="0" applyNumberFormat="1" applyFont="1" applyFill="1" applyBorder="1" applyAlignment="1">
      <alignment/>
    </xf>
    <xf numFmtId="3" fontId="2" fillId="24" borderId="39" xfId="0" applyNumberFormat="1" applyFont="1" applyFill="1" applyBorder="1" applyAlignment="1">
      <alignment/>
    </xf>
    <xf numFmtId="3" fontId="5" fillId="24" borderId="40" xfId="0" applyNumberFormat="1" applyFont="1" applyFill="1" applyBorder="1" applyAlignment="1">
      <alignment/>
    </xf>
    <xf numFmtId="3" fontId="5" fillId="24" borderId="21" xfId="0" applyNumberFormat="1" applyFont="1" applyFill="1" applyBorder="1" applyAlignment="1">
      <alignment horizontal="right"/>
    </xf>
    <xf numFmtId="3" fontId="6" fillId="24" borderId="22" xfId="0" applyNumberFormat="1" applyFont="1" applyFill="1" applyBorder="1" applyAlignment="1">
      <alignment horizontal="right" wrapText="1"/>
    </xf>
    <xf numFmtId="3" fontId="6" fillId="24" borderId="22" xfId="0" applyNumberFormat="1" applyFont="1" applyFill="1" applyBorder="1" applyAlignment="1">
      <alignment horizontal="center"/>
    </xf>
    <xf numFmtId="3" fontId="6" fillId="24" borderId="24" xfId="0" applyNumberFormat="1" applyFont="1" applyFill="1" applyBorder="1" applyAlignment="1">
      <alignment horizontal="center"/>
    </xf>
    <xf numFmtId="3" fontId="5" fillId="24" borderId="28" xfId="0" applyNumberFormat="1" applyFont="1" applyFill="1" applyBorder="1" applyAlignment="1" applyProtection="1">
      <alignment/>
      <protection/>
    </xf>
    <xf numFmtId="3" fontId="5" fillId="24" borderId="28" xfId="0" applyNumberFormat="1" applyFont="1" applyFill="1" applyBorder="1" applyAlignment="1" applyProtection="1">
      <alignment horizontal="left" wrapText="1"/>
      <protection/>
    </xf>
    <xf numFmtId="3" fontId="6" fillId="24" borderId="10" xfId="0" applyNumberFormat="1" applyFont="1" applyFill="1" applyBorder="1" applyAlignment="1" applyProtection="1">
      <alignment/>
      <protection/>
    </xf>
    <xf numFmtId="3" fontId="6" fillId="24" borderId="10" xfId="0" applyNumberFormat="1" applyFont="1" applyFill="1" applyBorder="1" applyAlignment="1" applyProtection="1">
      <alignment horizontal="left" wrapText="1"/>
      <protection/>
    </xf>
    <xf numFmtId="3" fontId="6" fillId="24" borderId="10" xfId="0" applyNumberFormat="1" applyFont="1" applyFill="1" applyBorder="1" applyAlignment="1" applyProtection="1">
      <alignment horizontal="center"/>
      <protection/>
    </xf>
    <xf numFmtId="3" fontId="6" fillId="24" borderId="15" xfId="0" applyNumberFormat="1" applyFont="1" applyFill="1" applyBorder="1" applyAlignment="1" applyProtection="1">
      <alignment/>
      <protection/>
    </xf>
    <xf numFmtId="3" fontId="5" fillId="24" borderId="10" xfId="0" applyNumberFormat="1" applyFont="1" applyFill="1" applyBorder="1" applyAlignment="1" applyProtection="1">
      <alignment/>
      <protection/>
    </xf>
    <xf numFmtId="3" fontId="5" fillId="24" borderId="10" xfId="0" applyNumberFormat="1" applyFont="1" applyFill="1" applyBorder="1" applyAlignment="1" applyProtection="1">
      <alignment horizontal="left" wrapText="1"/>
      <protection/>
    </xf>
    <xf numFmtId="0" fontId="5" fillId="24" borderId="0" xfId="0" applyNumberFormat="1" applyFont="1" applyFill="1" applyAlignment="1">
      <alignment vertical="center"/>
    </xf>
    <xf numFmtId="3" fontId="6" fillId="24" borderId="10" xfId="0" applyNumberFormat="1" applyFont="1" applyFill="1" applyBorder="1" applyAlignment="1" applyProtection="1">
      <alignment horizontal="right"/>
      <protection/>
    </xf>
    <xf numFmtId="3" fontId="6" fillId="24" borderId="0" xfId="0" applyNumberFormat="1" applyFont="1" applyFill="1" applyBorder="1" applyAlignment="1" applyProtection="1">
      <alignment horizontal="center"/>
      <protection/>
    </xf>
    <xf numFmtId="3" fontId="28" fillId="24" borderId="0" xfId="0" applyNumberFormat="1" applyFont="1" applyFill="1" applyAlignment="1">
      <alignment/>
    </xf>
    <xf numFmtId="3" fontId="5" fillId="0" borderId="27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34" xfId="0" applyNumberFormat="1" applyFont="1" applyBorder="1" applyAlignment="1">
      <alignment/>
    </xf>
    <xf numFmtId="3" fontId="35" fillId="0" borderId="20" xfId="0" applyNumberFormat="1" applyFont="1" applyBorder="1" applyAlignment="1">
      <alignment/>
    </xf>
    <xf numFmtId="3" fontId="5" fillId="25" borderId="34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 wrapText="1"/>
    </xf>
    <xf numFmtId="3" fontId="5" fillId="0" borderId="13" xfId="0" applyNumberFormat="1" applyFont="1" applyBorder="1" applyAlignment="1">
      <alignment/>
    </xf>
    <xf numFmtId="3" fontId="5" fillId="0" borderId="10" xfId="0" applyNumberFormat="1" applyFont="1" applyBorder="1" applyAlignment="1">
      <alignment horizontal="left" wrapText="1"/>
    </xf>
    <xf numFmtId="3" fontId="5" fillId="24" borderId="34" xfId="0" applyNumberFormat="1" applyFont="1" applyFill="1" applyBorder="1" applyAlignment="1">
      <alignment/>
    </xf>
    <xf numFmtId="0" fontId="2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center" wrapText="1"/>
    </xf>
    <xf numFmtId="0" fontId="32" fillId="0" borderId="22" xfId="0" applyFont="1" applyBorder="1" applyAlignment="1">
      <alignment horizontal="center" wrapText="1"/>
    </xf>
    <xf numFmtId="0" fontId="2" fillId="24" borderId="22" xfId="0" applyFont="1" applyFill="1" applyBorder="1" applyAlignment="1">
      <alignment horizontal="center" wrapText="1"/>
    </xf>
    <xf numFmtId="0" fontId="2" fillId="0" borderId="22" xfId="52" applyFont="1" applyBorder="1" applyAlignment="1">
      <alignment horizontal="left" wrapText="1"/>
      <protection/>
    </xf>
    <xf numFmtId="9" fontId="2" fillId="0" borderId="22" xfId="0" applyNumberFormat="1" applyFont="1" applyBorder="1" applyAlignment="1">
      <alignment horizontal="center" wrapText="1"/>
    </xf>
    <xf numFmtId="0" fontId="31" fillId="0" borderId="22" xfId="0" applyFont="1" applyBorder="1" applyAlignment="1">
      <alignment horizontal="center" wrapText="1"/>
    </xf>
    <xf numFmtId="0" fontId="31" fillId="0" borderId="22" xfId="57" applyFont="1" applyBorder="1" applyAlignment="1">
      <alignment horizontal="left" wrapText="1"/>
      <protection/>
    </xf>
    <xf numFmtId="0" fontId="2" fillId="0" borderId="22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24" borderId="0" xfId="0" applyFont="1" applyFill="1" applyAlignment="1">
      <alignment/>
    </xf>
    <xf numFmtId="3" fontId="36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0" fillId="0" borderId="0" xfId="0" applyFont="1" applyAlignment="1">
      <alignment/>
    </xf>
    <xf numFmtId="0" fontId="5" fillId="0" borderId="28" xfId="0" applyFont="1" applyBorder="1" applyAlignment="1">
      <alignment/>
    </xf>
    <xf numFmtId="3" fontId="6" fillId="0" borderId="28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24" borderId="28" xfId="0" applyFont="1" applyFill="1" applyBorder="1" applyAlignment="1">
      <alignment/>
    </xf>
    <xf numFmtId="3" fontId="6" fillId="0" borderId="13" xfId="0" applyNumberFormat="1" applyFont="1" applyBorder="1" applyAlignment="1">
      <alignment/>
    </xf>
    <xf numFmtId="0" fontId="6" fillId="0" borderId="21" xfId="0" applyFont="1" applyBorder="1" applyAlignment="1">
      <alignment/>
    </xf>
    <xf numFmtId="3" fontId="6" fillId="0" borderId="23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3" fontId="6" fillId="0" borderId="25" xfId="0" applyNumberFormat="1" applyFont="1" applyBorder="1" applyAlignment="1">
      <alignment/>
    </xf>
    <xf numFmtId="0" fontId="29" fillId="24" borderId="0" xfId="0" applyFont="1" applyFill="1" applyAlignment="1">
      <alignment horizontal="center"/>
    </xf>
    <xf numFmtId="3" fontId="29" fillId="24" borderId="62" xfId="0" applyNumberFormat="1" applyFont="1" applyFill="1" applyBorder="1" applyAlignment="1">
      <alignment horizontal="center" wrapText="1"/>
    </xf>
  </cellXfs>
  <cellStyles count="58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Hyperlink" xfId="41"/>
    <cellStyle name="Ievade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rmal_2009.g plāns apst 3" xfId="50"/>
    <cellStyle name="Normal_PROJEKTI_2016_PLĀNS_Aija un Inese" xfId="51"/>
    <cellStyle name="Normal_PROJEKTI_2016_PLĀNS_Aija un Inese 2" xfId="52"/>
    <cellStyle name="Normal_Sheet1" xfId="53"/>
    <cellStyle name="Normal_Sheet1_Pielikumi oktobra korekcijam 2" xfId="54"/>
    <cellStyle name="Normal_Specbudz.kopsavilkums 2006.g un korekc. 2" xfId="55"/>
    <cellStyle name="Nosaukums" xfId="56"/>
    <cellStyle name="Parasts 2" xfId="57"/>
    <cellStyle name="Parasts 2 2" xfId="58"/>
    <cellStyle name="Parasts 2_2016.g. Ieņēmumu un izdevumu plāns" xfId="59"/>
    <cellStyle name="Paskaidrojošs teksts" xfId="60"/>
    <cellStyle name="Pārbaudes šūna" xfId="61"/>
    <cellStyle name="Piezīme" xfId="62"/>
    <cellStyle name="Percent" xfId="63"/>
    <cellStyle name="Saistīta šūna" xfId="64"/>
    <cellStyle name="Slikts" xfId="65"/>
    <cellStyle name="Currency" xfId="66"/>
    <cellStyle name="Currency [0]" xfId="67"/>
    <cellStyle name="Virsraksts 1" xfId="68"/>
    <cellStyle name="Virsraksts 2" xfId="69"/>
    <cellStyle name="Virsraksts 3" xfId="70"/>
    <cellStyle name="Virsraksts 4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zoomScale="98" zoomScaleNormal="98" zoomScalePageLayoutView="0" workbookViewId="0" topLeftCell="A1">
      <pane xSplit="2" ySplit="7" topLeftCell="C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S1" sqref="S1:S3"/>
    </sheetView>
  </sheetViews>
  <sheetFormatPr defaultColWidth="9.140625" defaultRowHeight="12.75"/>
  <cols>
    <col min="1" max="1" width="13.28125" style="32" customWidth="1"/>
    <col min="2" max="2" width="41.00390625" style="183" customWidth="1"/>
    <col min="3" max="3" width="12.7109375" style="32" customWidth="1"/>
    <col min="4" max="4" width="13.8515625" style="202" customWidth="1"/>
    <col min="5" max="5" width="10.00390625" style="32" customWidth="1"/>
    <col min="6" max="6" width="9.8515625" style="32" customWidth="1"/>
    <col min="7" max="7" width="10.00390625" style="32" customWidth="1"/>
    <col min="8" max="8" width="9.00390625" style="32" customWidth="1"/>
    <col min="9" max="9" width="8.7109375" style="32" customWidth="1"/>
    <col min="10" max="10" width="9.7109375" style="32" customWidth="1"/>
    <col min="11" max="11" width="8.8515625" style="32" customWidth="1"/>
    <col min="12" max="12" width="9.7109375" style="32" customWidth="1"/>
    <col min="13" max="13" width="8.7109375" style="32" customWidth="1"/>
    <col min="14" max="14" width="8.57421875" style="32" customWidth="1"/>
    <col min="15" max="15" width="9.7109375" style="32" customWidth="1"/>
    <col min="16" max="16" width="10.00390625" style="32" customWidth="1"/>
    <col min="17" max="17" width="10.140625" style="32" customWidth="1"/>
    <col min="18" max="18" width="10.28125" style="32" customWidth="1"/>
    <col min="19" max="19" width="13.00390625" style="76" customWidth="1"/>
    <col min="20" max="16384" width="9.140625" style="32" customWidth="1"/>
  </cols>
  <sheetData>
    <row r="1" spans="5:19" ht="15">
      <c r="E1" s="203"/>
      <c r="F1" s="203"/>
      <c r="R1" s="204"/>
      <c r="S1" s="204" t="s">
        <v>10</v>
      </c>
    </row>
    <row r="2" spans="1:19" ht="15">
      <c r="A2" s="205"/>
      <c r="E2" s="205"/>
      <c r="F2" s="205"/>
      <c r="R2" s="204"/>
      <c r="S2" s="204" t="s">
        <v>394</v>
      </c>
    </row>
    <row r="3" spans="1:19" ht="15">
      <c r="A3" s="205"/>
      <c r="E3" s="205"/>
      <c r="F3" s="205"/>
      <c r="R3" s="204"/>
      <c r="S3" s="204" t="s">
        <v>705</v>
      </c>
    </row>
    <row r="5" spans="1:4" ht="20.25">
      <c r="A5" s="289" t="s">
        <v>484</v>
      </c>
      <c r="B5" s="289"/>
      <c r="C5" s="289"/>
      <c r="D5" s="289"/>
    </row>
    <row r="6" spans="1:16" ht="15.75" thickBot="1">
      <c r="A6" s="205"/>
      <c r="B6" s="206"/>
      <c r="C6" s="205"/>
      <c r="M6" s="200"/>
      <c r="N6" s="200"/>
      <c r="O6" s="200"/>
      <c r="P6" s="200"/>
    </row>
    <row r="7" spans="1:19" ht="135.75" thickBot="1">
      <c r="A7" s="207" t="s">
        <v>9</v>
      </c>
      <c r="B7" s="208" t="s">
        <v>126</v>
      </c>
      <c r="C7" s="38" t="s">
        <v>485</v>
      </c>
      <c r="D7" s="209" t="s">
        <v>486</v>
      </c>
      <c r="E7" s="210" t="s">
        <v>487</v>
      </c>
      <c r="F7" s="210" t="s">
        <v>488</v>
      </c>
      <c r="G7" s="43" t="s">
        <v>489</v>
      </c>
      <c r="H7" s="43" t="s">
        <v>490</v>
      </c>
      <c r="I7" s="43" t="s">
        <v>491</v>
      </c>
      <c r="J7" s="43" t="s">
        <v>492</v>
      </c>
      <c r="K7" s="43" t="s">
        <v>493</v>
      </c>
      <c r="L7" s="43" t="s">
        <v>494</v>
      </c>
      <c r="M7" s="43" t="s">
        <v>495</v>
      </c>
      <c r="N7" s="42" t="s">
        <v>496</v>
      </c>
      <c r="O7" s="42" t="s">
        <v>670</v>
      </c>
      <c r="P7" s="42" t="s">
        <v>671</v>
      </c>
      <c r="Q7" s="43" t="s">
        <v>622</v>
      </c>
      <c r="R7" s="44" t="s">
        <v>647</v>
      </c>
      <c r="S7" s="211" t="s">
        <v>497</v>
      </c>
    </row>
    <row r="8" spans="1:19" ht="15.75" thickBot="1">
      <c r="A8" s="212"/>
      <c r="B8" s="47" t="s">
        <v>21</v>
      </c>
      <c r="C8" s="78">
        <f>C9+C12+C17+C18</f>
        <v>33461505</v>
      </c>
      <c r="D8" s="78">
        <f aca="true" t="shared" si="0" ref="D8:M8">D9+D12+D18</f>
        <v>0</v>
      </c>
      <c r="E8" s="78">
        <f t="shared" si="0"/>
        <v>0</v>
      </c>
      <c r="F8" s="48">
        <f t="shared" si="0"/>
        <v>0</v>
      </c>
      <c r="G8" s="78">
        <f>G9+G12+G18</f>
        <v>109850</v>
      </c>
      <c r="H8" s="78">
        <f t="shared" si="0"/>
        <v>50140</v>
      </c>
      <c r="I8" s="78">
        <f t="shared" si="0"/>
        <v>45000</v>
      </c>
      <c r="J8" s="78">
        <f t="shared" si="0"/>
        <v>104008</v>
      </c>
      <c r="K8" s="78">
        <f t="shared" si="0"/>
        <v>57000</v>
      </c>
      <c r="L8" s="78">
        <f t="shared" si="0"/>
        <v>49000</v>
      </c>
      <c r="M8" s="78">
        <f t="shared" si="0"/>
        <v>50480</v>
      </c>
      <c r="N8" s="78">
        <f>N9+N12+N18</f>
        <v>74000</v>
      </c>
      <c r="O8" s="78">
        <f>O9+O12+O18</f>
        <v>2069692</v>
      </c>
      <c r="P8" s="78">
        <f>P9+P12+P17+P18</f>
        <v>3262074</v>
      </c>
      <c r="Q8" s="48">
        <f>Q9+Q12+Q18</f>
        <v>5178451</v>
      </c>
      <c r="R8" s="48">
        <f>R9+R12+R18</f>
        <v>0</v>
      </c>
      <c r="S8" s="49">
        <f aca="true" t="shared" si="1" ref="S8:S35">SUM(C8:R8)</f>
        <v>44511200</v>
      </c>
    </row>
    <row r="9" spans="1:19" ht="15">
      <c r="A9" s="213" t="s">
        <v>22</v>
      </c>
      <c r="B9" s="214" t="s">
        <v>127</v>
      </c>
      <c r="C9" s="52">
        <f aca="true" t="shared" si="2" ref="C9:R9">SUM(C10:C11)</f>
        <v>32037722</v>
      </c>
      <c r="D9" s="52">
        <f t="shared" si="2"/>
        <v>0</v>
      </c>
      <c r="E9" s="52">
        <f t="shared" si="2"/>
        <v>0</v>
      </c>
      <c r="F9" s="16">
        <f t="shared" si="2"/>
        <v>0</v>
      </c>
      <c r="G9" s="52">
        <f t="shared" si="2"/>
        <v>0</v>
      </c>
      <c r="H9" s="52">
        <f t="shared" si="2"/>
        <v>0</v>
      </c>
      <c r="I9" s="52">
        <f t="shared" si="2"/>
        <v>0</v>
      </c>
      <c r="J9" s="52">
        <f t="shared" si="2"/>
        <v>0</v>
      </c>
      <c r="K9" s="52">
        <f t="shared" si="2"/>
        <v>0</v>
      </c>
      <c r="L9" s="52">
        <f t="shared" si="2"/>
        <v>0</v>
      </c>
      <c r="M9" s="52">
        <f t="shared" si="2"/>
        <v>0</v>
      </c>
      <c r="N9" s="52">
        <f>SUM(N10:N11)</f>
        <v>0</v>
      </c>
      <c r="O9" s="52">
        <f>SUM(O10:O11)</f>
        <v>1665360</v>
      </c>
      <c r="P9" s="52">
        <f>SUM(P10:P11)</f>
        <v>2711453</v>
      </c>
      <c r="Q9" s="16">
        <f t="shared" si="2"/>
        <v>4516810</v>
      </c>
      <c r="R9" s="16">
        <f t="shared" si="2"/>
        <v>0</v>
      </c>
      <c r="S9" s="22">
        <f t="shared" si="1"/>
        <v>40931345</v>
      </c>
    </row>
    <row r="10" spans="1:19" ht="45">
      <c r="A10" s="63" t="s">
        <v>23</v>
      </c>
      <c r="B10" s="24" t="s">
        <v>128</v>
      </c>
      <c r="C10" s="4"/>
      <c r="D10" s="4"/>
      <c r="E10" s="4"/>
      <c r="F10" s="14"/>
      <c r="G10" s="4"/>
      <c r="H10" s="4"/>
      <c r="I10" s="4"/>
      <c r="J10" s="4"/>
      <c r="K10" s="4"/>
      <c r="L10" s="4"/>
      <c r="M10" s="4"/>
      <c r="N10" s="4"/>
      <c r="O10" s="4"/>
      <c r="P10" s="4"/>
      <c r="Q10" s="14">
        <v>193837</v>
      </c>
      <c r="R10" s="23"/>
      <c r="S10" s="22">
        <f t="shared" si="1"/>
        <v>193837</v>
      </c>
    </row>
    <row r="11" spans="1:19" ht="30">
      <c r="A11" s="63" t="s">
        <v>24</v>
      </c>
      <c r="B11" s="24" t="s">
        <v>129</v>
      </c>
      <c r="C11" s="4">
        <f>21447122+10590600</f>
        <v>32037722</v>
      </c>
      <c r="D11" s="4"/>
      <c r="E11" s="4"/>
      <c r="F11" s="14"/>
      <c r="G11" s="4"/>
      <c r="H11" s="4"/>
      <c r="I11" s="4"/>
      <c r="J11" s="4"/>
      <c r="K11" s="4"/>
      <c r="L11" s="4"/>
      <c r="M11" s="4"/>
      <c r="N11" s="4"/>
      <c r="O11" s="4">
        <f>1578865+86495</f>
        <v>1665360</v>
      </c>
      <c r="P11" s="4">
        <v>2711453</v>
      </c>
      <c r="Q11" s="14">
        <v>4322973</v>
      </c>
      <c r="R11" s="23"/>
      <c r="S11" s="22">
        <f t="shared" si="1"/>
        <v>40737508</v>
      </c>
    </row>
    <row r="12" spans="1:19" ht="15">
      <c r="A12" s="215" t="s">
        <v>130</v>
      </c>
      <c r="B12" s="24" t="s">
        <v>131</v>
      </c>
      <c r="C12" s="4">
        <f>C13</f>
        <v>1340783</v>
      </c>
      <c r="D12" s="4"/>
      <c r="E12" s="4"/>
      <c r="F12" s="14"/>
      <c r="G12" s="4">
        <f>G13</f>
        <v>109850</v>
      </c>
      <c r="H12" s="9">
        <f aca="true" t="shared" si="3" ref="H12:R12">H13</f>
        <v>50140</v>
      </c>
      <c r="I12" s="9">
        <f t="shared" si="3"/>
        <v>45000</v>
      </c>
      <c r="J12" s="9">
        <f t="shared" si="3"/>
        <v>104008</v>
      </c>
      <c r="K12" s="9">
        <f t="shared" si="3"/>
        <v>57000</v>
      </c>
      <c r="L12" s="9">
        <f t="shared" si="3"/>
        <v>49000</v>
      </c>
      <c r="M12" s="9">
        <f t="shared" si="3"/>
        <v>50480</v>
      </c>
      <c r="N12" s="9">
        <f t="shared" si="3"/>
        <v>74000</v>
      </c>
      <c r="O12" s="9">
        <f t="shared" si="3"/>
        <v>392332</v>
      </c>
      <c r="P12" s="9">
        <f t="shared" si="3"/>
        <v>523971</v>
      </c>
      <c r="Q12" s="69">
        <f t="shared" si="3"/>
        <v>648641</v>
      </c>
      <c r="R12" s="216">
        <f t="shared" si="3"/>
        <v>0</v>
      </c>
      <c r="S12" s="22">
        <f t="shared" si="1"/>
        <v>3445205</v>
      </c>
    </row>
    <row r="13" spans="1:19" ht="15">
      <c r="A13" s="215" t="s">
        <v>25</v>
      </c>
      <c r="B13" s="24" t="s">
        <v>26</v>
      </c>
      <c r="C13" s="4">
        <f>SUM(C14:C16)</f>
        <v>1340783</v>
      </c>
      <c r="D13" s="4"/>
      <c r="E13" s="4"/>
      <c r="F13" s="14"/>
      <c r="G13" s="4">
        <f>SUM(G14:G16)</f>
        <v>109850</v>
      </c>
      <c r="H13" s="4">
        <f aca="true" t="shared" si="4" ref="H13:R13">SUM(H14:H16)</f>
        <v>50140</v>
      </c>
      <c r="I13" s="4">
        <f t="shared" si="4"/>
        <v>45000</v>
      </c>
      <c r="J13" s="4">
        <f t="shared" si="4"/>
        <v>104008</v>
      </c>
      <c r="K13" s="4">
        <f t="shared" si="4"/>
        <v>57000</v>
      </c>
      <c r="L13" s="4">
        <f t="shared" si="4"/>
        <v>49000</v>
      </c>
      <c r="M13" s="4">
        <f t="shared" si="4"/>
        <v>50480</v>
      </c>
      <c r="N13" s="4">
        <f>SUM(N14:N16)</f>
        <v>74000</v>
      </c>
      <c r="O13" s="4">
        <f>SUM(O14:O16)</f>
        <v>392332</v>
      </c>
      <c r="P13" s="4">
        <f>SUM(P14:P16)</f>
        <v>523971</v>
      </c>
      <c r="Q13" s="69">
        <f t="shared" si="4"/>
        <v>648641</v>
      </c>
      <c r="R13" s="216">
        <f t="shared" si="4"/>
        <v>0</v>
      </c>
      <c r="S13" s="22">
        <f t="shared" si="1"/>
        <v>3445205</v>
      </c>
    </row>
    <row r="14" spans="1:19" ht="15">
      <c r="A14" s="63" t="s">
        <v>11</v>
      </c>
      <c r="B14" s="24" t="s">
        <v>27</v>
      </c>
      <c r="C14" s="9">
        <v>593098</v>
      </c>
      <c r="D14" s="9"/>
      <c r="E14" s="9"/>
      <c r="F14" s="4"/>
      <c r="G14" s="217">
        <v>93500</v>
      </c>
      <c r="H14" s="9">
        <v>45230</v>
      </c>
      <c r="I14" s="9">
        <v>40000</v>
      </c>
      <c r="J14" s="9">
        <v>93133</v>
      </c>
      <c r="K14" s="4">
        <v>49000</v>
      </c>
      <c r="L14" s="9">
        <v>44800</v>
      </c>
      <c r="M14" s="132">
        <v>47180</v>
      </c>
      <c r="N14" s="69">
        <v>70500</v>
      </c>
      <c r="O14" s="132">
        <v>311521</v>
      </c>
      <c r="P14" s="132">
        <v>381516</v>
      </c>
      <c r="Q14" s="69">
        <v>443087</v>
      </c>
      <c r="R14" s="23"/>
      <c r="S14" s="22">
        <f t="shared" si="1"/>
        <v>2212565</v>
      </c>
    </row>
    <row r="15" spans="1:19" ht="15">
      <c r="A15" s="63" t="s">
        <v>12</v>
      </c>
      <c r="B15" s="24" t="s">
        <v>28</v>
      </c>
      <c r="C15" s="9">
        <v>463238</v>
      </c>
      <c r="D15" s="9"/>
      <c r="E15" s="9"/>
      <c r="F15" s="4"/>
      <c r="G15" s="217">
        <v>4950</v>
      </c>
      <c r="H15" s="9">
        <v>2950</v>
      </c>
      <c r="I15" s="9">
        <v>2200</v>
      </c>
      <c r="J15" s="9">
        <v>4386</v>
      </c>
      <c r="K15" s="4">
        <v>8000</v>
      </c>
      <c r="L15" s="9">
        <v>1400</v>
      </c>
      <c r="M15" s="217">
        <v>800</v>
      </c>
      <c r="N15" s="69">
        <v>500</v>
      </c>
      <c r="O15" s="132">
        <v>43861</v>
      </c>
      <c r="P15" s="132">
        <v>76951</v>
      </c>
      <c r="Q15" s="69">
        <v>73258</v>
      </c>
      <c r="R15" s="23"/>
      <c r="S15" s="22">
        <f t="shared" si="1"/>
        <v>682494</v>
      </c>
    </row>
    <row r="16" spans="1:19" ht="15">
      <c r="A16" s="63" t="s">
        <v>183</v>
      </c>
      <c r="B16" s="24" t="s">
        <v>184</v>
      </c>
      <c r="C16" s="9">
        <v>284447</v>
      </c>
      <c r="D16" s="9" t="s">
        <v>317</v>
      </c>
      <c r="E16" s="9"/>
      <c r="F16" s="4"/>
      <c r="G16" s="217">
        <v>11400</v>
      </c>
      <c r="H16" s="9">
        <v>1960</v>
      </c>
      <c r="I16" s="4">
        <v>2800</v>
      </c>
      <c r="J16" s="9">
        <v>6489</v>
      </c>
      <c r="K16" s="9"/>
      <c r="L16" s="9">
        <v>2800</v>
      </c>
      <c r="M16" s="217">
        <v>2500</v>
      </c>
      <c r="N16" s="69">
        <v>3000</v>
      </c>
      <c r="O16" s="132">
        <v>36950</v>
      </c>
      <c r="P16" s="132">
        <v>65504</v>
      </c>
      <c r="Q16" s="69">
        <v>132296</v>
      </c>
      <c r="R16" s="23"/>
      <c r="S16" s="22">
        <f t="shared" si="1"/>
        <v>550146</v>
      </c>
    </row>
    <row r="17" spans="1:19" ht="15">
      <c r="A17" s="218" t="s">
        <v>13</v>
      </c>
      <c r="B17" s="219" t="s">
        <v>29</v>
      </c>
      <c r="C17" s="10">
        <v>15000</v>
      </c>
      <c r="D17" s="10"/>
      <c r="E17" s="10"/>
      <c r="F17" s="196"/>
      <c r="G17" s="220"/>
      <c r="H17" s="10"/>
      <c r="I17" s="11"/>
      <c r="J17" s="10"/>
      <c r="K17" s="10"/>
      <c r="L17" s="10"/>
      <c r="M17" s="11"/>
      <c r="N17" s="196"/>
      <c r="O17" s="4"/>
      <c r="P17" s="4">
        <v>10000</v>
      </c>
      <c r="Q17" s="196"/>
      <c r="R17" s="216"/>
      <c r="S17" s="22">
        <f t="shared" si="1"/>
        <v>25000</v>
      </c>
    </row>
    <row r="18" spans="1:19" ht="15.75" thickBot="1">
      <c r="A18" s="221" t="s">
        <v>395</v>
      </c>
      <c r="B18" s="66" t="s">
        <v>262</v>
      </c>
      <c r="C18" s="11">
        <v>68000</v>
      </c>
      <c r="D18" s="11"/>
      <c r="E18" s="11"/>
      <c r="F18" s="67"/>
      <c r="G18" s="11"/>
      <c r="H18" s="11"/>
      <c r="I18" s="11"/>
      <c r="J18" s="11"/>
      <c r="K18" s="11"/>
      <c r="L18" s="11"/>
      <c r="M18" s="11"/>
      <c r="N18" s="67"/>
      <c r="O18" s="112">
        <v>12000</v>
      </c>
      <c r="P18" s="67">
        <v>16650</v>
      </c>
      <c r="Q18" s="67">
        <v>13000</v>
      </c>
      <c r="R18" s="222"/>
      <c r="S18" s="223">
        <f t="shared" si="1"/>
        <v>109650</v>
      </c>
    </row>
    <row r="19" spans="1:19" ht="15.75" thickBot="1">
      <c r="A19" s="212"/>
      <c r="B19" s="47" t="s">
        <v>30</v>
      </c>
      <c r="C19" s="78">
        <f>SUM(C20:C28)</f>
        <v>141880</v>
      </c>
      <c r="D19" s="78">
        <f aca="true" t="shared" si="5" ref="D19:R19">SUM(D20:D28)</f>
        <v>200</v>
      </c>
      <c r="E19" s="78">
        <f t="shared" si="5"/>
        <v>0</v>
      </c>
      <c r="F19" s="78">
        <f t="shared" si="5"/>
        <v>0</v>
      </c>
      <c r="G19" s="78">
        <f t="shared" si="5"/>
        <v>4970</v>
      </c>
      <c r="H19" s="78">
        <f t="shared" si="5"/>
        <v>320</v>
      </c>
      <c r="I19" s="78">
        <f t="shared" si="5"/>
        <v>269</v>
      </c>
      <c r="J19" s="78">
        <f t="shared" si="5"/>
        <v>128521</v>
      </c>
      <c r="K19" s="78">
        <f t="shared" si="5"/>
        <v>0</v>
      </c>
      <c r="L19" s="78">
        <f t="shared" si="5"/>
        <v>50</v>
      </c>
      <c r="M19" s="78">
        <f t="shared" si="5"/>
        <v>100</v>
      </c>
      <c r="N19" s="78">
        <f>SUM(N20:N28)</f>
        <v>170</v>
      </c>
      <c r="O19" s="78">
        <f>SUM(O20:O28)</f>
        <v>639843</v>
      </c>
      <c r="P19" s="78">
        <f>SUM(P20:P28)</f>
        <v>628500</v>
      </c>
      <c r="Q19" s="48">
        <f t="shared" si="5"/>
        <v>50756</v>
      </c>
      <c r="R19" s="48">
        <f t="shared" si="5"/>
        <v>0</v>
      </c>
      <c r="S19" s="49">
        <f t="shared" si="1"/>
        <v>1595579</v>
      </c>
    </row>
    <row r="20" spans="1:19" ht="15">
      <c r="A20" s="224" t="s">
        <v>334</v>
      </c>
      <c r="B20" s="225" t="s">
        <v>335</v>
      </c>
      <c r="C20" s="12">
        <v>60000</v>
      </c>
      <c r="D20" s="53"/>
      <c r="E20" s="53"/>
      <c r="F20" s="154"/>
      <c r="G20" s="53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226"/>
      <c r="S20" s="22">
        <f t="shared" si="1"/>
        <v>60000</v>
      </c>
    </row>
    <row r="21" spans="1:19" ht="30">
      <c r="A21" s="213" t="s">
        <v>132</v>
      </c>
      <c r="B21" s="214" t="s">
        <v>133</v>
      </c>
      <c r="C21" s="52"/>
      <c r="D21" s="52"/>
      <c r="E21" s="52"/>
      <c r="F21" s="16"/>
      <c r="G21" s="52"/>
      <c r="H21" s="52"/>
      <c r="I21" s="52"/>
      <c r="J21" s="52"/>
      <c r="K21" s="52"/>
      <c r="L21" s="52"/>
      <c r="M21" s="52"/>
      <c r="N21" s="16"/>
      <c r="O21" s="4"/>
      <c r="P21" s="16"/>
      <c r="Q21" s="16"/>
      <c r="R21" s="23"/>
      <c r="S21" s="22">
        <f t="shared" si="1"/>
        <v>0</v>
      </c>
    </row>
    <row r="22" spans="1:19" ht="15">
      <c r="A22" s="213" t="s">
        <v>396</v>
      </c>
      <c r="B22" s="214" t="s">
        <v>397</v>
      </c>
      <c r="C22" s="52"/>
      <c r="D22" s="52"/>
      <c r="E22" s="52"/>
      <c r="F22" s="16"/>
      <c r="G22" s="52"/>
      <c r="H22" s="52"/>
      <c r="I22" s="52"/>
      <c r="J22" s="52"/>
      <c r="K22" s="52"/>
      <c r="L22" s="227"/>
      <c r="M22" s="52"/>
      <c r="N22" s="79"/>
      <c r="O22" s="4"/>
      <c r="P22" s="4"/>
      <c r="Q22" s="79">
        <v>1518</v>
      </c>
      <c r="R22" s="23"/>
      <c r="S22" s="22">
        <f t="shared" si="1"/>
        <v>1518</v>
      </c>
    </row>
    <row r="23" spans="1:19" ht="33" customHeight="1">
      <c r="A23" s="213" t="s">
        <v>549</v>
      </c>
      <c r="B23" s="214" t="s">
        <v>550</v>
      </c>
      <c r="C23" s="52"/>
      <c r="D23" s="52"/>
      <c r="E23" s="52"/>
      <c r="F23" s="16"/>
      <c r="G23" s="52"/>
      <c r="H23" s="52"/>
      <c r="I23" s="52"/>
      <c r="J23" s="52"/>
      <c r="K23" s="52"/>
      <c r="L23" s="227"/>
      <c r="M23" s="52"/>
      <c r="N23" s="79"/>
      <c r="O23" s="4">
        <v>100</v>
      </c>
      <c r="P23" s="4">
        <v>50</v>
      </c>
      <c r="Q23" s="79"/>
      <c r="R23" s="23"/>
      <c r="S23" s="22">
        <f t="shared" si="1"/>
        <v>150</v>
      </c>
    </row>
    <row r="24" spans="1:19" ht="30">
      <c r="A24" s="215" t="s">
        <v>31</v>
      </c>
      <c r="B24" s="24" t="s">
        <v>32</v>
      </c>
      <c r="C24" s="4">
        <v>7180</v>
      </c>
      <c r="D24" s="4">
        <v>200</v>
      </c>
      <c r="E24" s="4"/>
      <c r="F24" s="14"/>
      <c r="G24" s="4"/>
      <c r="H24" s="4">
        <v>200</v>
      </c>
      <c r="I24" s="4">
        <v>50</v>
      </c>
      <c r="J24" s="4">
        <v>2200</v>
      </c>
      <c r="K24" s="4"/>
      <c r="L24" s="9">
        <v>25</v>
      </c>
      <c r="M24" s="4"/>
      <c r="N24" s="69">
        <v>100</v>
      </c>
      <c r="O24" s="4">
        <v>2900</v>
      </c>
      <c r="P24" s="4">
        <v>4370</v>
      </c>
      <c r="Q24" s="69">
        <v>3463</v>
      </c>
      <c r="R24" s="23"/>
      <c r="S24" s="22">
        <f t="shared" si="1"/>
        <v>20688</v>
      </c>
    </row>
    <row r="25" spans="1:19" ht="15">
      <c r="A25" s="215" t="s">
        <v>15</v>
      </c>
      <c r="B25" s="24" t="s">
        <v>14</v>
      </c>
      <c r="C25" s="4">
        <v>20950</v>
      </c>
      <c r="D25" s="4"/>
      <c r="E25" s="4"/>
      <c r="F25" s="14"/>
      <c r="G25" s="4">
        <v>1300</v>
      </c>
      <c r="H25" s="4">
        <v>120</v>
      </c>
      <c r="I25" s="4">
        <v>50</v>
      </c>
      <c r="J25" s="4">
        <v>850</v>
      </c>
      <c r="K25" s="4"/>
      <c r="L25" s="9">
        <v>25</v>
      </c>
      <c r="M25" s="4">
        <v>100</v>
      </c>
      <c r="N25" s="69">
        <v>70</v>
      </c>
      <c r="O25" s="4">
        <v>2000</v>
      </c>
      <c r="P25" s="4">
        <v>4690</v>
      </c>
      <c r="Q25" s="69">
        <v>12650</v>
      </c>
      <c r="R25" s="23"/>
      <c r="S25" s="22">
        <f t="shared" si="1"/>
        <v>42805</v>
      </c>
    </row>
    <row r="26" spans="1:19" ht="15">
      <c r="A26" s="215" t="s">
        <v>134</v>
      </c>
      <c r="B26" s="24" t="s">
        <v>135</v>
      </c>
      <c r="C26" s="4">
        <v>31100</v>
      </c>
      <c r="D26" s="4"/>
      <c r="E26" s="4"/>
      <c r="F26" s="14"/>
      <c r="G26" s="4"/>
      <c r="H26" s="4"/>
      <c r="I26" s="4"/>
      <c r="J26" s="4"/>
      <c r="K26" s="4"/>
      <c r="L26" s="4"/>
      <c r="M26" s="4"/>
      <c r="N26" s="14"/>
      <c r="O26" s="14">
        <v>7820</v>
      </c>
      <c r="P26" s="14">
        <v>2990</v>
      </c>
      <c r="Q26" s="14">
        <v>13825</v>
      </c>
      <c r="R26" s="23"/>
      <c r="S26" s="22">
        <f t="shared" si="1"/>
        <v>55735</v>
      </c>
    </row>
    <row r="27" spans="1:19" ht="15">
      <c r="A27" s="215" t="s">
        <v>398</v>
      </c>
      <c r="B27" s="24" t="s">
        <v>33</v>
      </c>
      <c r="C27" s="4">
        <v>9150</v>
      </c>
      <c r="D27" s="4"/>
      <c r="E27" s="4"/>
      <c r="F27" s="14"/>
      <c r="G27" s="4"/>
      <c r="H27" s="4"/>
      <c r="I27" s="4">
        <v>169</v>
      </c>
      <c r="J27" s="4"/>
      <c r="K27" s="4"/>
      <c r="L27" s="4"/>
      <c r="M27" s="4"/>
      <c r="N27" s="14"/>
      <c r="O27" s="14">
        <v>130</v>
      </c>
      <c r="P27" s="14">
        <v>200</v>
      </c>
      <c r="Q27" s="14">
        <v>1300</v>
      </c>
      <c r="R27" s="23"/>
      <c r="S27" s="22">
        <f t="shared" si="1"/>
        <v>10949</v>
      </c>
    </row>
    <row r="28" spans="1:19" ht="27.75" customHeight="1">
      <c r="A28" s="215" t="s">
        <v>121</v>
      </c>
      <c r="B28" s="24" t="s">
        <v>266</v>
      </c>
      <c r="C28" s="4">
        <v>13500</v>
      </c>
      <c r="D28" s="4"/>
      <c r="E28" s="4"/>
      <c r="F28" s="4"/>
      <c r="G28" s="4">
        <v>3670</v>
      </c>
      <c r="H28" s="69"/>
      <c r="I28" s="14"/>
      <c r="J28" s="4">
        <v>125471</v>
      </c>
      <c r="K28" s="14"/>
      <c r="L28" s="4"/>
      <c r="M28" s="14"/>
      <c r="N28" s="14"/>
      <c r="O28" s="14">
        <v>626893</v>
      </c>
      <c r="P28" s="14">
        <v>616200</v>
      </c>
      <c r="Q28" s="14">
        <v>18000</v>
      </c>
      <c r="R28" s="23"/>
      <c r="S28" s="22">
        <f t="shared" si="1"/>
        <v>1403734</v>
      </c>
    </row>
    <row r="29" spans="1:19" ht="58.5" thickBot="1">
      <c r="A29" s="197" t="s">
        <v>270</v>
      </c>
      <c r="B29" s="35" t="s">
        <v>269</v>
      </c>
      <c r="C29" s="85">
        <v>42816</v>
      </c>
      <c r="D29" s="85"/>
      <c r="E29" s="85"/>
      <c r="F29" s="17"/>
      <c r="G29" s="85"/>
      <c r="H29" s="17"/>
      <c r="I29" s="17"/>
      <c r="J29" s="85"/>
      <c r="K29" s="17"/>
      <c r="L29" s="85"/>
      <c r="M29" s="17"/>
      <c r="N29" s="17"/>
      <c r="O29" s="17">
        <v>2500</v>
      </c>
      <c r="P29" s="17">
        <v>20000</v>
      </c>
      <c r="Q29" s="17">
        <v>41385</v>
      </c>
      <c r="R29" s="222"/>
      <c r="S29" s="22">
        <f t="shared" si="1"/>
        <v>106701</v>
      </c>
    </row>
    <row r="30" spans="1:19" ht="15.75" thickBot="1">
      <c r="A30" s="77" t="s">
        <v>34</v>
      </c>
      <c r="B30" s="47" t="s">
        <v>35</v>
      </c>
      <c r="C30" s="78">
        <f aca="true" t="shared" si="6" ref="C30:R30">SUM(C31:C31)</f>
        <v>21279791</v>
      </c>
      <c r="D30" s="78">
        <f t="shared" si="6"/>
        <v>0</v>
      </c>
      <c r="E30" s="78">
        <f t="shared" si="6"/>
        <v>0</v>
      </c>
      <c r="F30" s="48">
        <f t="shared" si="6"/>
        <v>0</v>
      </c>
      <c r="G30" s="78">
        <f t="shared" si="6"/>
        <v>0</v>
      </c>
      <c r="H30" s="78">
        <f t="shared" si="6"/>
        <v>0</v>
      </c>
      <c r="I30" s="78">
        <f t="shared" si="6"/>
        <v>0</v>
      </c>
      <c r="J30" s="78">
        <f t="shared" si="6"/>
        <v>78440</v>
      </c>
      <c r="K30" s="78">
        <f t="shared" si="6"/>
        <v>0</v>
      </c>
      <c r="L30" s="78">
        <f t="shared" si="6"/>
        <v>9998</v>
      </c>
      <c r="M30" s="78">
        <f t="shared" si="6"/>
        <v>200</v>
      </c>
      <c r="N30" s="78">
        <f t="shared" si="6"/>
        <v>0</v>
      </c>
      <c r="O30" s="78">
        <f t="shared" si="6"/>
        <v>1825177</v>
      </c>
      <c r="P30" s="78">
        <f t="shared" si="6"/>
        <v>3964320</v>
      </c>
      <c r="Q30" s="48">
        <f t="shared" si="6"/>
        <v>1917207</v>
      </c>
      <c r="R30" s="48">
        <f t="shared" si="6"/>
        <v>0</v>
      </c>
      <c r="S30" s="49">
        <f t="shared" si="1"/>
        <v>29075133</v>
      </c>
    </row>
    <row r="31" spans="1:19" ht="15.75" customHeight="1" thickBot="1">
      <c r="A31" s="228" t="s">
        <v>182</v>
      </c>
      <c r="B31" s="186" t="s">
        <v>185</v>
      </c>
      <c r="C31" s="52">
        <f>17550580+1381868+1590296+74157+682890</f>
        <v>21279791</v>
      </c>
      <c r="D31" s="52"/>
      <c r="E31" s="52"/>
      <c r="F31" s="16"/>
      <c r="G31" s="52"/>
      <c r="H31" s="16"/>
      <c r="I31" s="16"/>
      <c r="J31" s="16">
        <v>78440</v>
      </c>
      <c r="K31" s="16"/>
      <c r="L31" s="16">
        <v>9998</v>
      </c>
      <c r="M31" s="16">
        <v>200</v>
      </c>
      <c r="N31" s="16"/>
      <c r="O31" s="16">
        <v>1825177</v>
      </c>
      <c r="P31" s="16">
        <v>3964320</v>
      </c>
      <c r="Q31" s="16">
        <v>1917207</v>
      </c>
      <c r="R31" s="23"/>
      <c r="S31" s="22">
        <f t="shared" si="1"/>
        <v>29075133</v>
      </c>
    </row>
    <row r="32" spans="1:19" ht="15.75" thickBot="1">
      <c r="A32" s="77" t="s">
        <v>36</v>
      </c>
      <c r="B32" s="47" t="s">
        <v>37</v>
      </c>
      <c r="C32" s="48">
        <f>SUM(C33:C35)</f>
        <v>695773</v>
      </c>
      <c r="D32" s="48">
        <f aca="true" t="shared" si="7" ref="D32:R32">SUM(D33:D35)</f>
        <v>0</v>
      </c>
      <c r="E32" s="48">
        <f t="shared" si="7"/>
        <v>0</v>
      </c>
      <c r="F32" s="48">
        <f t="shared" si="7"/>
        <v>0</v>
      </c>
      <c r="G32" s="78">
        <f t="shared" si="7"/>
        <v>0</v>
      </c>
      <c r="H32" s="78">
        <f t="shared" si="7"/>
        <v>0</v>
      </c>
      <c r="I32" s="78">
        <f t="shared" si="7"/>
        <v>0</v>
      </c>
      <c r="J32" s="78">
        <f t="shared" si="7"/>
        <v>89714</v>
      </c>
      <c r="K32" s="78">
        <f t="shared" si="7"/>
        <v>0</v>
      </c>
      <c r="L32" s="78">
        <f t="shared" si="7"/>
        <v>0</v>
      </c>
      <c r="M32" s="78">
        <f t="shared" si="7"/>
        <v>0</v>
      </c>
      <c r="N32" s="78">
        <f>SUM(N33:N35)</f>
        <v>0</v>
      </c>
      <c r="O32" s="78">
        <f>SUM(O33:O35)</f>
        <v>130000</v>
      </c>
      <c r="P32" s="78">
        <f>SUM(P33:P35)</f>
        <v>256800</v>
      </c>
      <c r="Q32" s="48">
        <f t="shared" si="7"/>
        <v>150000</v>
      </c>
      <c r="R32" s="48">
        <f t="shared" si="7"/>
        <v>100000</v>
      </c>
      <c r="S32" s="49">
        <f t="shared" si="1"/>
        <v>1422287</v>
      </c>
    </row>
    <row r="33" spans="1:19" ht="30">
      <c r="A33" s="213" t="s">
        <v>136</v>
      </c>
      <c r="B33" s="214" t="s">
        <v>186</v>
      </c>
      <c r="C33" s="16"/>
      <c r="D33" s="16"/>
      <c r="E33" s="16"/>
      <c r="F33" s="16"/>
      <c r="G33" s="52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23"/>
      <c r="S33" s="22">
        <f t="shared" si="1"/>
        <v>0</v>
      </c>
    </row>
    <row r="34" spans="1:19" ht="30">
      <c r="A34" s="215" t="s">
        <v>38</v>
      </c>
      <c r="B34" s="24" t="s">
        <v>187</v>
      </c>
      <c r="C34" s="14">
        <v>695773</v>
      </c>
      <c r="D34" s="14"/>
      <c r="E34" s="14"/>
      <c r="F34" s="14"/>
      <c r="G34" s="4"/>
      <c r="H34" s="14"/>
      <c r="I34" s="14"/>
      <c r="J34" s="14">
        <f>100000-10286</f>
        <v>89714</v>
      </c>
      <c r="K34" s="14"/>
      <c r="L34" s="4"/>
      <c r="M34" s="14"/>
      <c r="N34" s="14"/>
      <c r="O34" s="14">
        <v>130000</v>
      </c>
      <c r="P34" s="14">
        <v>256800</v>
      </c>
      <c r="Q34" s="14">
        <v>150000</v>
      </c>
      <c r="R34" s="23">
        <v>100000</v>
      </c>
      <c r="S34" s="22">
        <f t="shared" si="1"/>
        <v>1422287</v>
      </c>
    </row>
    <row r="35" spans="1:19" ht="26.25" customHeight="1" thickBot="1">
      <c r="A35" s="221" t="s">
        <v>39</v>
      </c>
      <c r="B35" s="24" t="s">
        <v>292</v>
      </c>
      <c r="C35" s="11"/>
      <c r="D35" s="11"/>
      <c r="E35" s="11"/>
      <c r="F35" s="67"/>
      <c r="G35" s="220"/>
      <c r="H35" s="11"/>
      <c r="I35" s="11"/>
      <c r="J35" s="11"/>
      <c r="K35" s="67"/>
      <c r="L35" s="112"/>
      <c r="M35" s="176"/>
      <c r="N35" s="176"/>
      <c r="O35" s="229"/>
      <c r="P35" s="112"/>
      <c r="Q35" s="176"/>
      <c r="R35" s="222"/>
      <c r="S35" s="223">
        <f t="shared" si="1"/>
        <v>0</v>
      </c>
    </row>
    <row r="36" spans="1:19" ht="15.75" thickBot="1">
      <c r="A36" s="77" t="s">
        <v>40</v>
      </c>
      <c r="B36" s="47" t="s">
        <v>41</v>
      </c>
      <c r="C36" s="48">
        <f aca="true" t="shared" si="8" ref="C36:Q36">SUM(C37,C38,C44)</f>
        <v>311437</v>
      </c>
      <c r="D36" s="48">
        <f t="shared" si="8"/>
        <v>2176793</v>
      </c>
      <c r="E36" s="48">
        <f t="shared" si="8"/>
        <v>157677</v>
      </c>
      <c r="F36" s="48">
        <f t="shared" si="8"/>
        <v>290069</v>
      </c>
      <c r="G36" s="48">
        <f t="shared" si="8"/>
        <v>56200</v>
      </c>
      <c r="H36" s="48">
        <f t="shared" si="8"/>
        <v>99340</v>
      </c>
      <c r="I36" s="48">
        <f t="shared" si="8"/>
        <v>121700</v>
      </c>
      <c r="J36" s="48">
        <f t="shared" si="8"/>
        <v>673278</v>
      </c>
      <c r="K36" s="48">
        <f t="shared" si="8"/>
        <v>10000</v>
      </c>
      <c r="L36" s="48">
        <f t="shared" si="8"/>
        <v>17800</v>
      </c>
      <c r="M36" s="48">
        <f t="shared" si="8"/>
        <v>11500</v>
      </c>
      <c r="N36" s="48">
        <f t="shared" si="8"/>
        <v>43000</v>
      </c>
      <c r="O36" s="48">
        <f t="shared" si="8"/>
        <v>334745</v>
      </c>
      <c r="P36" s="48">
        <f t="shared" si="8"/>
        <v>570156</v>
      </c>
      <c r="Q36" s="48">
        <f t="shared" si="8"/>
        <v>114306</v>
      </c>
      <c r="R36" s="230"/>
      <c r="S36" s="49">
        <f>SUM(C36:Q36)</f>
        <v>4988001</v>
      </c>
    </row>
    <row r="37" spans="1:19" ht="31.5">
      <c r="A37" s="231" t="s">
        <v>166</v>
      </c>
      <c r="B37" s="232" t="s">
        <v>167</v>
      </c>
      <c r="C37" s="58">
        <v>24678</v>
      </c>
      <c r="D37" s="52"/>
      <c r="E37" s="16"/>
      <c r="F37" s="16"/>
      <c r="G37" s="52"/>
      <c r="H37" s="52"/>
      <c r="I37" s="52"/>
      <c r="J37" s="52"/>
      <c r="K37" s="52"/>
      <c r="L37" s="52"/>
      <c r="M37" s="52"/>
      <c r="N37" s="16"/>
      <c r="O37" s="16"/>
      <c r="P37" s="16">
        <v>14748</v>
      </c>
      <c r="Q37" s="16"/>
      <c r="R37" s="23"/>
      <c r="S37" s="22">
        <f>SUM(C37:Q37)</f>
        <v>39426</v>
      </c>
    </row>
    <row r="38" spans="1:19" ht="43.5">
      <c r="A38" s="193" t="s">
        <v>42</v>
      </c>
      <c r="B38" s="62" t="s">
        <v>188</v>
      </c>
      <c r="C38" s="21">
        <f aca="true" t="shared" si="9" ref="C38:R38">SUM(C39:C43)</f>
        <v>286759</v>
      </c>
      <c r="D38" s="21">
        <f t="shared" si="9"/>
        <v>2175793</v>
      </c>
      <c r="E38" s="21">
        <f t="shared" si="9"/>
        <v>157677</v>
      </c>
      <c r="F38" s="21">
        <f t="shared" si="9"/>
        <v>290069</v>
      </c>
      <c r="G38" s="21">
        <f t="shared" si="9"/>
        <v>56200</v>
      </c>
      <c r="H38" s="116">
        <f t="shared" si="9"/>
        <v>98340</v>
      </c>
      <c r="I38" s="21">
        <f t="shared" si="9"/>
        <v>121700</v>
      </c>
      <c r="J38" s="21">
        <f t="shared" si="9"/>
        <v>673278</v>
      </c>
      <c r="K38" s="21">
        <f t="shared" si="9"/>
        <v>10000</v>
      </c>
      <c r="L38" s="21">
        <f t="shared" si="9"/>
        <v>17800</v>
      </c>
      <c r="M38" s="21">
        <f t="shared" si="9"/>
        <v>11500</v>
      </c>
      <c r="N38" s="21">
        <f t="shared" si="9"/>
        <v>43000</v>
      </c>
      <c r="O38" s="115">
        <f t="shared" si="9"/>
        <v>333745</v>
      </c>
      <c r="P38" s="21">
        <f t="shared" si="9"/>
        <v>550508</v>
      </c>
      <c r="Q38" s="21">
        <f t="shared" si="9"/>
        <v>103946</v>
      </c>
      <c r="R38" s="116">
        <f t="shared" si="9"/>
        <v>0</v>
      </c>
      <c r="S38" s="22">
        <f aca="true" t="shared" si="10" ref="S38:S48">SUM(C38:R38)</f>
        <v>4930315</v>
      </c>
    </row>
    <row r="39" spans="1:19" ht="30">
      <c r="A39" s="63" t="s">
        <v>336</v>
      </c>
      <c r="B39" s="24" t="s">
        <v>399</v>
      </c>
      <c r="C39" s="115"/>
      <c r="D39" s="115"/>
      <c r="E39" s="116"/>
      <c r="F39" s="20"/>
      <c r="G39" s="21"/>
      <c r="H39" s="116"/>
      <c r="I39" s="21"/>
      <c r="J39" s="69"/>
      <c r="K39" s="21"/>
      <c r="L39" s="116"/>
      <c r="M39" s="21"/>
      <c r="N39" s="116"/>
      <c r="O39" s="21">
        <v>3975</v>
      </c>
      <c r="P39" s="21">
        <v>50</v>
      </c>
      <c r="Q39" s="116"/>
      <c r="R39" s="226"/>
      <c r="S39" s="22">
        <f t="shared" si="10"/>
        <v>4025</v>
      </c>
    </row>
    <row r="40" spans="1:19" ht="15">
      <c r="A40" s="63" t="s">
        <v>137</v>
      </c>
      <c r="B40" s="24" t="s">
        <v>138</v>
      </c>
      <c r="C40" s="9">
        <v>93435</v>
      </c>
      <c r="D40" s="9"/>
      <c r="E40" s="69"/>
      <c r="F40" s="14"/>
      <c r="G40" s="4">
        <v>46500</v>
      </c>
      <c r="H40" s="21"/>
      <c r="I40" s="4">
        <v>6900</v>
      </c>
      <c r="J40" s="4">
        <v>49248</v>
      </c>
      <c r="K40" s="21"/>
      <c r="L40" s="21"/>
      <c r="M40" s="21"/>
      <c r="N40" s="20">
        <v>4000</v>
      </c>
      <c r="O40" s="20">
        <v>39837</v>
      </c>
      <c r="P40" s="21">
        <v>123565</v>
      </c>
      <c r="Q40" s="116">
        <v>25983</v>
      </c>
      <c r="R40" s="226"/>
      <c r="S40" s="22">
        <f t="shared" si="10"/>
        <v>389468</v>
      </c>
    </row>
    <row r="41" spans="1:19" ht="30">
      <c r="A41" s="63" t="s">
        <v>139</v>
      </c>
      <c r="B41" s="24" t="s">
        <v>358</v>
      </c>
      <c r="C41" s="4"/>
      <c r="D41" s="4"/>
      <c r="E41" s="4"/>
      <c r="F41" s="14"/>
      <c r="G41" s="4"/>
      <c r="H41" s="4">
        <v>10</v>
      </c>
      <c r="I41" s="4"/>
      <c r="J41" s="4"/>
      <c r="K41" s="4"/>
      <c r="L41" s="4"/>
      <c r="M41" s="4"/>
      <c r="N41" s="14"/>
      <c r="O41" s="14">
        <v>50</v>
      </c>
      <c r="P41" s="4">
        <v>1030</v>
      </c>
      <c r="Q41" s="69">
        <v>6500</v>
      </c>
      <c r="R41" s="23"/>
      <c r="S41" s="22">
        <f t="shared" si="10"/>
        <v>7590</v>
      </c>
    </row>
    <row r="42" spans="1:19" ht="15">
      <c r="A42" s="63" t="s">
        <v>43</v>
      </c>
      <c r="B42" s="24" t="s">
        <v>44</v>
      </c>
      <c r="C42" s="4">
        <v>172900</v>
      </c>
      <c r="D42" s="4">
        <v>37476</v>
      </c>
      <c r="E42" s="4">
        <v>53827</v>
      </c>
      <c r="F42" s="4">
        <v>16589</v>
      </c>
      <c r="G42" s="9">
        <v>4700</v>
      </c>
      <c r="H42" s="4">
        <v>10310</v>
      </c>
      <c r="I42" s="4">
        <v>5780</v>
      </c>
      <c r="J42" s="4">
        <v>19496</v>
      </c>
      <c r="K42" s="14">
        <v>2500</v>
      </c>
      <c r="L42" s="4">
        <v>4000</v>
      </c>
      <c r="M42" s="98">
        <v>3500</v>
      </c>
      <c r="N42" s="69">
        <v>6000</v>
      </c>
      <c r="O42" s="98">
        <v>17360</v>
      </c>
      <c r="P42" s="98">
        <v>185599</v>
      </c>
      <c r="Q42" s="69">
        <v>39404</v>
      </c>
      <c r="R42" s="23"/>
      <c r="S42" s="22">
        <f t="shared" si="10"/>
        <v>579441</v>
      </c>
    </row>
    <row r="43" spans="1:19" ht="30">
      <c r="A43" s="63" t="s">
        <v>45</v>
      </c>
      <c r="B43" s="24" t="s">
        <v>46</v>
      </c>
      <c r="C43" s="4">
        <v>20424</v>
      </c>
      <c r="D43" s="4">
        <v>2138317</v>
      </c>
      <c r="E43" s="4">
        <v>103850</v>
      </c>
      <c r="F43" s="4">
        <f>265180+8300</f>
        <v>273480</v>
      </c>
      <c r="G43" s="122">
        <v>5000</v>
      </c>
      <c r="H43" s="9">
        <v>88020</v>
      </c>
      <c r="I43" s="4">
        <f>108920+100</f>
        <v>109020</v>
      </c>
      <c r="J43" s="9">
        <v>604534</v>
      </c>
      <c r="K43" s="14">
        <v>7500</v>
      </c>
      <c r="L43" s="4">
        <v>13800</v>
      </c>
      <c r="M43" s="217">
        <v>8000</v>
      </c>
      <c r="N43" s="69">
        <v>33000</v>
      </c>
      <c r="O43" s="132">
        <v>272523</v>
      </c>
      <c r="P43" s="132">
        <v>240264</v>
      </c>
      <c r="Q43" s="69">
        <v>32059</v>
      </c>
      <c r="R43" s="23"/>
      <c r="S43" s="22">
        <f t="shared" si="10"/>
        <v>3949791</v>
      </c>
    </row>
    <row r="44" spans="1:19" ht="30" thickBot="1">
      <c r="A44" s="193" t="s">
        <v>277</v>
      </c>
      <c r="B44" s="62" t="s">
        <v>278</v>
      </c>
      <c r="C44" s="233"/>
      <c r="D44" s="85">
        <v>1000</v>
      </c>
      <c r="E44" s="85"/>
      <c r="F44" s="17"/>
      <c r="G44" s="234"/>
      <c r="H44" s="85">
        <v>1000</v>
      </c>
      <c r="I44" s="235"/>
      <c r="J44" s="235"/>
      <c r="K44" s="177"/>
      <c r="L44" s="85"/>
      <c r="M44" s="235"/>
      <c r="N44" s="235"/>
      <c r="O44" s="235">
        <v>1000</v>
      </c>
      <c r="P44" s="235">
        <v>4900</v>
      </c>
      <c r="Q44" s="235">
        <v>10360</v>
      </c>
      <c r="R44" s="177"/>
      <c r="S44" s="22">
        <f t="shared" si="10"/>
        <v>18260</v>
      </c>
    </row>
    <row r="45" spans="1:19" ht="15.75" thickBot="1">
      <c r="A45" s="236"/>
      <c r="B45" s="237" t="s">
        <v>47</v>
      </c>
      <c r="C45" s="238">
        <f aca="true" t="shared" si="11" ref="C45:R45">SUM(C8+C19+C29+C30+C32+C36)</f>
        <v>55933202</v>
      </c>
      <c r="D45" s="238">
        <f t="shared" si="11"/>
        <v>2176993</v>
      </c>
      <c r="E45" s="238">
        <f t="shared" si="11"/>
        <v>157677</v>
      </c>
      <c r="F45" s="239">
        <f t="shared" si="11"/>
        <v>290069</v>
      </c>
      <c r="G45" s="238">
        <f t="shared" si="11"/>
        <v>171020</v>
      </c>
      <c r="H45" s="238">
        <f t="shared" si="11"/>
        <v>149800</v>
      </c>
      <c r="I45" s="238">
        <f t="shared" si="11"/>
        <v>166969</v>
      </c>
      <c r="J45" s="238">
        <f t="shared" si="11"/>
        <v>1073961</v>
      </c>
      <c r="K45" s="238">
        <f t="shared" si="11"/>
        <v>67000</v>
      </c>
      <c r="L45" s="238">
        <f t="shared" si="11"/>
        <v>76848</v>
      </c>
      <c r="M45" s="238">
        <f t="shared" si="11"/>
        <v>62280</v>
      </c>
      <c r="N45" s="238">
        <f t="shared" si="11"/>
        <v>117170</v>
      </c>
      <c r="O45" s="238">
        <f t="shared" si="11"/>
        <v>5001957</v>
      </c>
      <c r="P45" s="238">
        <f t="shared" si="11"/>
        <v>8701850</v>
      </c>
      <c r="Q45" s="238">
        <f t="shared" si="11"/>
        <v>7452105</v>
      </c>
      <c r="R45" s="238">
        <f t="shared" si="11"/>
        <v>100000</v>
      </c>
      <c r="S45" s="49">
        <f t="shared" si="10"/>
        <v>81698901</v>
      </c>
    </row>
    <row r="46" spans="1:19" ht="15">
      <c r="A46" s="240" t="s">
        <v>663</v>
      </c>
      <c r="B46" s="241" t="s">
        <v>621</v>
      </c>
      <c r="C46" s="240">
        <f>20211488-987669</f>
        <v>19223819</v>
      </c>
      <c r="D46" s="52"/>
      <c r="E46" s="52"/>
      <c r="F46" s="16"/>
      <c r="G46" s="52"/>
      <c r="H46" s="52"/>
      <c r="I46" s="52"/>
      <c r="J46" s="52"/>
      <c r="K46" s="52"/>
      <c r="L46" s="52"/>
      <c r="M46" s="16"/>
      <c r="N46" s="12"/>
      <c r="O46" s="16">
        <v>8764</v>
      </c>
      <c r="P46" s="16">
        <v>5065097</v>
      </c>
      <c r="Q46" s="12">
        <v>416566</v>
      </c>
      <c r="R46" s="12"/>
      <c r="S46" s="53">
        <f t="shared" si="10"/>
        <v>24714246</v>
      </c>
    </row>
    <row r="47" spans="1:19" ht="15">
      <c r="A47" s="242"/>
      <c r="B47" s="243" t="s">
        <v>48</v>
      </c>
      <c r="C47" s="244">
        <f aca="true" t="shared" si="12" ref="C47:R47">SUM(C45:C46)</f>
        <v>75157021</v>
      </c>
      <c r="D47" s="242">
        <f t="shared" si="12"/>
        <v>2176993</v>
      </c>
      <c r="E47" s="242">
        <f t="shared" si="12"/>
        <v>157677</v>
      </c>
      <c r="F47" s="245">
        <f t="shared" si="12"/>
        <v>290069</v>
      </c>
      <c r="G47" s="242">
        <f t="shared" si="12"/>
        <v>171020</v>
      </c>
      <c r="H47" s="242">
        <f t="shared" si="12"/>
        <v>149800</v>
      </c>
      <c r="I47" s="242">
        <f t="shared" si="12"/>
        <v>166969</v>
      </c>
      <c r="J47" s="242">
        <f t="shared" si="12"/>
        <v>1073961</v>
      </c>
      <c r="K47" s="242">
        <f t="shared" si="12"/>
        <v>67000</v>
      </c>
      <c r="L47" s="242">
        <f t="shared" si="12"/>
        <v>76848</v>
      </c>
      <c r="M47" s="245">
        <f t="shared" si="12"/>
        <v>62280</v>
      </c>
      <c r="N47" s="242">
        <f>SUM(N45:N46)</f>
        <v>117170</v>
      </c>
      <c r="O47" s="242">
        <f>SUM(O45:O46)</f>
        <v>5010721</v>
      </c>
      <c r="P47" s="242">
        <f>SUM(P45:P46)</f>
        <v>13766947</v>
      </c>
      <c r="Q47" s="242">
        <f t="shared" si="12"/>
        <v>7868671</v>
      </c>
      <c r="R47" s="242">
        <f t="shared" si="12"/>
        <v>100000</v>
      </c>
      <c r="S47" s="58">
        <f t="shared" si="10"/>
        <v>106413147</v>
      </c>
    </row>
    <row r="48" spans="1:19" ht="18" customHeight="1">
      <c r="A48" s="246" t="s">
        <v>275</v>
      </c>
      <c r="B48" s="247" t="s">
        <v>498</v>
      </c>
      <c r="C48" s="13">
        <v>7128989</v>
      </c>
      <c r="D48" s="248">
        <v>1963554</v>
      </c>
      <c r="E48" s="4">
        <v>228207</v>
      </c>
      <c r="F48" s="4">
        <v>80182</v>
      </c>
      <c r="G48" s="9">
        <v>277425</v>
      </c>
      <c r="H48" s="4">
        <v>56851</v>
      </c>
      <c r="I48" s="4">
        <v>173887</v>
      </c>
      <c r="J48" s="4">
        <v>269676</v>
      </c>
      <c r="K48" s="14">
        <v>106126</v>
      </c>
      <c r="L48" s="4">
        <v>85574</v>
      </c>
      <c r="M48" s="4">
        <v>58235</v>
      </c>
      <c r="N48" s="4">
        <v>68069</v>
      </c>
      <c r="O48" s="4">
        <v>1184323</v>
      </c>
      <c r="P48" s="4">
        <v>3320837</v>
      </c>
      <c r="Q48" s="4">
        <v>2630839</v>
      </c>
      <c r="R48" s="52">
        <v>74838</v>
      </c>
      <c r="S48" s="58">
        <f t="shared" si="10"/>
        <v>17707612</v>
      </c>
    </row>
    <row r="49" spans="1:19" ht="15">
      <c r="A49" s="246" t="s">
        <v>168</v>
      </c>
      <c r="B49" s="27" t="s">
        <v>169</v>
      </c>
      <c r="C49" s="13"/>
      <c r="D49" s="4"/>
      <c r="E49" s="4"/>
      <c r="F49" s="14"/>
      <c r="G49" s="4"/>
      <c r="H49" s="4"/>
      <c r="I49" s="4"/>
      <c r="J49" s="4"/>
      <c r="K49" s="4"/>
      <c r="L49" s="4"/>
      <c r="M49" s="14"/>
      <c r="N49" s="4"/>
      <c r="O49" s="14"/>
      <c r="P49" s="14"/>
      <c r="Q49" s="4"/>
      <c r="R49" s="52"/>
      <c r="S49" s="58">
        <f>SUM(C49:Q49)</f>
        <v>0</v>
      </c>
    </row>
    <row r="50" spans="1:19" ht="15">
      <c r="A50" s="242"/>
      <c r="B50" s="247" t="s">
        <v>49</v>
      </c>
      <c r="C50" s="249">
        <f aca="true" t="shared" si="13" ref="C50:R50">SUM(C47:C48)</f>
        <v>82286010</v>
      </c>
      <c r="D50" s="249">
        <f t="shared" si="13"/>
        <v>4140547</v>
      </c>
      <c r="E50" s="249">
        <f t="shared" si="13"/>
        <v>385884</v>
      </c>
      <c r="F50" s="249">
        <f t="shared" si="13"/>
        <v>370251</v>
      </c>
      <c r="G50" s="249">
        <f t="shared" si="13"/>
        <v>448445</v>
      </c>
      <c r="H50" s="249">
        <f t="shared" si="13"/>
        <v>206651</v>
      </c>
      <c r="I50" s="249">
        <f t="shared" si="13"/>
        <v>340856</v>
      </c>
      <c r="J50" s="249">
        <f t="shared" si="13"/>
        <v>1343637</v>
      </c>
      <c r="K50" s="249">
        <f t="shared" si="13"/>
        <v>173126</v>
      </c>
      <c r="L50" s="249">
        <f t="shared" si="13"/>
        <v>162422</v>
      </c>
      <c r="M50" s="249">
        <f t="shared" si="13"/>
        <v>120515</v>
      </c>
      <c r="N50" s="249">
        <f>SUM(N47:N48)</f>
        <v>185239</v>
      </c>
      <c r="O50" s="249">
        <f>SUM(O47:O48)</f>
        <v>6195044</v>
      </c>
      <c r="P50" s="249">
        <f>SUM(P47:P48)</f>
        <v>17087784</v>
      </c>
      <c r="Q50" s="249">
        <f t="shared" si="13"/>
        <v>10499510</v>
      </c>
      <c r="R50" s="249">
        <f t="shared" si="13"/>
        <v>174838</v>
      </c>
      <c r="S50" s="249">
        <f>SUM(S47:S48)</f>
        <v>124120759</v>
      </c>
    </row>
    <row r="51" spans="1:19" ht="15">
      <c r="A51" s="25"/>
      <c r="B51" s="26"/>
      <c r="C51" s="250"/>
      <c r="D51" s="25"/>
      <c r="E51" s="25"/>
      <c r="F51" s="25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</row>
    <row r="52" spans="1:19" ht="15">
      <c r="A52" s="25"/>
      <c r="B52" s="26"/>
      <c r="C52" s="251"/>
      <c r="D52" s="25"/>
      <c r="E52" s="25"/>
      <c r="F52" s="25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</row>
    <row r="53" spans="1:19" ht="15">
      <c r="A53" s="27"/>
      <c r="B53" s="183" t="s">
        <v>273</v>
      </c>
      <c r="C53" s="27"/>
      <c r="D53" s="27" t="s">
        <v>20</v>
      </c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31"/>
    </row>
  </sheetData>
  <sheetProtection/>
  <mergeCells count="1">
    <mergeCell ref="A5:D5"/>
  </mergeCells>
  <printOptions/>
  <pageMargins left="0.4330708661417323" right="0.35433070866141736" top="0.7874015748031497" bottom="0.5905511811023623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57"/>
  <sheetViews>
    <sheetView tabSelected="1" zoomScale="98" zoomScaleNormal="98" zoomScalePageLayoutView="0" workbookViewId="0" topLeftCell="A1">
      <pane xSplit="2" ySplit="1" topLeftCell="C320" activePane="bottomRight" state="frozen"/>
      <selection pane="topLeft" activeCell="A1" sqref="A1"/>
      <selection pane="topRight" activeCell="D1" sqref="D1"/>
      <selection pane="bottomLeft" activeCell="A8" sqref="A8"/>
      <selection pane="bottomRight" activeCell="G329" sqref="G329"/>
    </sheetView>
  </sheetViews>
  <sheetFormatPr defaultColWidth="9.140625" defaultRowHeight="12.75"/>
  <cols>
    <col min="1" max="1" width="13.28125" style="32" customWidth="1"/>
    <col min="2" max="2" width="41.00390625" style="183" customWidth="1"/>
    <col min="3" max="3" width="12.7109375" style="32" customWidth="1"/>
    <col min="4" max="4" width="13.8515625" style="202" customWidth="1"/>
    <col min="5" max="5" width="10.00390625" style="32" customWidth="1"/>
    <col min="6" max="6" width="9.8515625" style="32" customWidth="1"/>
    <col min="7" max="7" width="10.00390625" style="32" customWidth="1"/>
    <col min="8" max="8" width="9.00390625" style="32" customWidth="1"/>
    <col min="9" max="9" width="8.7109375" style="32" customWidth="1"/>
    <col min="10" max="10" width="9.7109375" style="32" customWidth="1"/>
    <col min="11" max="11" width="8.8515625" style="32" customWidth="1"/>
    <col min="12" max="12" width="9.7109375" style="32" customWidth="1"/>
    <col min="13" max="13" width="8.7109375" style="32" customWidth="1"/>
    <col min="14" max="14" width="8.57421875" style="32" customWidth="1"/>
    <col min="15" max="15" width="9.7109375" style="32" customWidth="1"/>
    <col min="16" max="16" width="10.00390625" style="32" customWidth="1"/>
    <col min="17" max="17" width="10.140625" style="32" customWidth="1"/>
    <col min="18" max="18" width="10.28125" style="32" customWidth="1"/>
    <col min="19" max="19" width="13.00390625" style="76" customWidth="1"/>
    <col min="20" max="16384" width="9.140625" style="32" customWidth="1"/>
  </cols>
  <sheetData>
    <row r="1" spans="1:19" ht="15">
      <c r="A1" s="25"/>
      <c r="B1" s="26"/>
      <c r="C1" s="27"/>
      <c r="D1" s="28"/>
      <c r="E1" s="29"/>
      <c r="F1" s="29"/>
      <c r="G1" s="27"/>
      <c r="H1" s="27"/>
      <c r="I1" s="27"/>
      <c r="J1" s="27"/>
      <c r="K1" s="27"/>
      <c r="L1" s="27"/>
      <c r="M1" s="27"/>
      <c r="N1" s="27"/>
      <c r="O1" s="27"/>
      <c r="P1" s="27"/>
      <c r="R1" s="30"/>
      <c r="S1" s="31"/>
    </row>
    <row r="2" spans="1:19" ht="15">
      <c r="A2" s="25"/>
      <c r="B2" s="26"/>
      <c r="C2" s="27"/>
      <c r="D2" s="28"/>
      <c r="E2" s="29"/>
      <c r="F2" s="29"/>
      <c r="G2" s="27"/>
      <c r="H2" s="27"/>
      <c r="I2" s="27"/>
      <c r="J2" s="27"/>
      <c r="K2" s="27"/>
      <c r="L2" s="27"/>
      <c r="M2" s="27"/>
      <c r="N2" s="27"/>
      <c r="O2" s="27"/>
      <c r="P2" s="27"/>
      <c r="R2" s="30"/>
      <c r="S2" s="204" t="s">
        <v>50</v>
      </c>
    </row>
    <row r="3" spans="1:19" ht="15">
      <c r="A3" s="25"/>
      <c r="B3" s="26"/>
      <c r="C3" s="27"/>
      <c r="D3" s="27"/>
      <c r="E3" s="33"/>
      <c r="F3" s="33"/>
      <c r="G3" s="27"/>
      <c r="H3" s="27"/>
      <c r="I3" s="27"/>
      <c r="J3" s="27"/>
      <c r="K3" s="27"/>
      <c r="L3" s="27"/>
      <c r="M3" s="27"/>
      <c r="N3" s="27"/>
      <c r="O3" s="27"/>
      <c r="P3" s="27"/>
      <c r="R3" s="30"/>
      <c r="S3" s="204" t="s">
        <v>394</v>
      </c>
    </row>
    <row r="4" spans="1:19" ht="15">
      <c r="A4" s="34"/>
      <c r="B4" s="35"/>
      <c r="C4" s="27"/>
      <c r="D4" s="27"/>
      <c r="E4" s="33"/>
      <c r="F4" s="33"/>
      <c r="G4" s="27"/>
      <c r="H4" s="27"/>
      <c r="I4" s="27"/>
      <c r="J4" s="27"/>
      <c r="K4" s="27"/>
      <c r="L4" s="27"/>
      <c r="M4" s="27"/>
      <c r="N4" s="27"/>
      <c r="O4" s="27"/>
      <c r="P4" s="27"/>
      <c r="R4" s="30"/>
      <c r="S4" s="204" t="s">
        <v>705</v>
      </c>
    </row>
    <row r="5" spans="1:19" ht="15">
      <c r="A5" s="34"/>
      <c r="B5" s="35"/>
      <c r="C5" s="27"/>
      <c r="D5" s="27"/>
      <c r="E5" s="33"/>
      <c r="F5" s="33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31"/>
    </row>
    <row r="6" spans="1:19" ht="39.75" customHeight="1" thickBot="1">
      <c r="A6" s="290" t="s">
        <v>499</v>
      </c>
      <c r="B6" s="290"/>
      <c r="C6" s="290"/>
      <c r="D6" s="290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31"/>
    </row>
    <row r="7" spans="1:19" ht="135.75" thickBot="1">
      <c r="A7" s="36" t="s">
        <v>9</v>
      </c>
      <c r="B7" s="37" t="s">
        <v>126</v>
      </c>
      <c r="C7" s="38" t="s">
        <v>485</v>
      </c>
      <c r="D7" s="39" t="s">
        <v>486</v>
      </c>
      <c r="E7" s="38" t="s">
        <v>487</v>
      </c>
      <c r="F7" s="38" t="s">
        <v>488</v>
      </c>
      <c r="G7" s="40" t="s">
        <v>489</v>
      </c>
      <c r="H7" s="40" t="s">
        <v>490</v>
      </c>
      <c r="I7" s="40" t="s">
        <v>491</v>
      </c>
      <c r="J7" s="40" t="s">
        <v>492</v>
      </c>
      <c r="K7" s="40" t="s">
        <v>493</v>
      </c>
      <c r="L7" s="40" t="s">
        <v>494</v>
      </c>
      <c r="M7" s="40" t="s">
        <v>495</v>
      </c>
      <c r="N7" s="41" t="s">
        <v>496</v>
      </c>
      <c r="O7" s="42" t="s">
        <v>670</v>
      </c>
      <c r="P7" s="42" t="s">
        <v>671</v>
      </c>
      <c r="Q7" s="43" t="s">
        <v>622</v>
      </c>
      <c r="R7" s="44" t="s">
        <v>647</v>
      </c>
      <c r="S7" s="45" t="s">
        <v>497</v>
      </c>
    </row>
    <row r="8" spans="1:19" ht="15.75" thickBot="1">
      <c r="A8" s="46" t="s">
        <v>51</v>
      </c>
      <c r="B8" s="47" t="s">
        <v>52</v>
      </c>
      <c r="C8" s="48">
        <f aca="true" t="shared" si="0" ref="C8:P8">C9+C10+C11+C12+C14+C15+C20</f>
        <v>5015586</v>
      </c>
      <c r="D8" s="48">
        <f t="shared" si="0"/>
        <v>0</v>
      </c>
      <c r="E8" s="48">
        <f t="shared" si="0"/>
        <v>0</v>
      </c>
      <c r="F8" s="48">
        <f t="shared" si="0"/>
        <v>0</v>
      </c>
      <c r="G8" s="48">
        <f t="shared" si="0"/>
        <v>132455</v>
      </c>
      <c r="H8" s="48">
        <f t="shared" si="0"/>
        <v>71441</v>
      </c>
      <c r="I8" s="48">
        <f t="shared" si="0"/>
        <v>119683</v>
      </c>
      <c r="J8" s="48">
        <f t="shared" si="0"/>
        <v>159175</v>
      </c>
      <c r="K8" s="48">
        <f t="shared" si="0"/>
        <v>111380</v>
      </c>
      <c r="L8" s="48">
        <f t="shared" si="0"/>
        <v>62606</v>
      </c>
      <c r="M8" s="48">
        <f t="shared" si="0"/>
        <v>67076</v>
      </c>
      <c r="N8" s="48">
        <f t="shared" si="0"/>
        <v>101370</v>
      </c>
      <c r="O8" s="48">
        <f t="shared" si="0"/>
        <v>622462</v>
      </c>
      <c r="P8" s="48">
        <f t="shared" si="0"/>
        <v>1091495</v>
      </c>
      <c r="Q8" s="48">
        <f>Q9+Q10+Q11+Q12+Q14+Q15+Q20</f>
        <v>982498</v>
      </c>
      <c r="R8" s="48">
        <f>R9+R10+R11+R12+R14+R15+R20</f>
        <v>0</v>
      </c>
      <c r="S8" s="49">
        <f aca="true" t="shared" si="1" ref="S8:S19">SUM(C8:R8)</f>
        <v>8537227</v>
      </c>
    </row>
    <row r="9" spans="1:19" ht="29.25">
      <c r="A9" s="50" t="s">
        <v>189</v>
      </c>
      <c r="B9" s="51" t="s">
        <v>190</v>
      </c>
      <c r="C9" s="18">
        <f>2615955+5527+500+1055565</f>
        <v>3677547</v>
      </c>
      <c r="D9" s="52"/>
      <c r="E9" s="52"/>
      <c r="F9" s="12"/>
      <c r="G9" s="53">
        <v>132455</v>
      </c>
      <c r="H9" s="54">
        <v>71441</v>
      </c>
      <c r="I9" s="53">
        <v>117603</v>
      </c>
      <c r="J9" s="54">
        <v>153624</v>
      </c>
      <c r="K9" s="53">
        <v>111380</v>
      </c>
      <c r="L9" s="53">
        <v>62606</v>
      </c>
      <c r="M9" s="53">
        <v>67076</v>
      </c>
      <c r="N9" s="55">
        <v>101370</v>
      </c>
      <c r="O9" s="53">
        <v>535412</v>
      </c>
      <c r="P9" s="53">
        <v>758141</v>
      </c>
      <c r="Q9" s="53">
        <v>739706</v>
      </c>
      <c r="R9" s="55"/>
      <c r="S9" s="56">
        <f t="shared" si="1"/>
        <v>6528361</v>
      </c>
    </row>
    <row r="10" spans="1:19" ht="29.25">
      <c r="A10" s="57" t="s">
        <v>664</v>
      </c>
      <c r="B10" s="51" t="s">
        <v>576</v>
      </c>
      <c r="C10" s="18"/>
      <c r="D10" s="16"/>
      <c r="E10" s="52"/>
      <c r="F10" s="16"/>
      <c r="G10" s="58"/>
      <c r="H10" s="59"/>
      <c r="I10" s="58"/>
      <c r="J10" s="55"/>
      <c r="K10" s="18"/>
      <c r="L10" s="18"/>
      <c r="M10" s="58"/>
      <c r="N10" s="55"/>
      <c r="O10" s="58">
        <v>53538</v>
      </c>
      <c r="P10" s="58">
        <v>41092</v>
      </c>
      <c r="Q10" s="55"/>
      <c r="R10" s="20"/>
      <c r="S10" s="60">
        <f t="shared" si="1"/>
        <v>94630</v>
      </c>
    </row>
    <row r="11" spans="1:19" ht="29.25">
      <c r="A11" s="57" t="s">
        <v>359</v>
      </c>
      <c r="B11" s="51" t="s">
        <v>480</v>
      </c>
      <c r="C11" s="18">
        <v>150893</v>
      </c>
      <c r="D11" s="16"/>
      <c r="E11" s="52"/>
      <c r="F11" s="16"/>
      <c r="G11" s="58"/>
      <c r="H11" s="58"/>
      <c r="I11" s="58"/>
      <c r="J11" s="55"/>
      <c r="K11" s="18"/>
      <c r="L11" s="18"/>
      <c r="M11" s="21"/>
      <c r="N11" s="55"/>
      <c r="O11" s="58"/>
      <c r="P11" s="58">
        <v>25179</v>
      </c>
      <c r="Q11" s="55">
        <v>25569</v>
      </c>
      <c r="R11" s="20"/>
      <c r="S11" s="60">
        <f t="shared" si="1"/>
        <v>201641</v>
      </c>
    </row>
    <row r="12" spans="1:19" ht="15">
      <c r="A12" s="61" t="s">
        <v>53</v>
      </c>
      <c r="B12" s="62" t="s">
        <v>54</v>
      </c>
      <c r="C12" s="20">
        <f>SUM(C13:C13)</f>
        <v>287251</v>
      </c>
      <c r="D12" s="20">
        <f>SUM(D13:D13)</f>
        <v>0</v>
      </c>
      <c r="E12" s="21"/>
      <c r="F12" s="20"/>
      <c r="G12" s="21">
        <f aca="true" t="shared" si="2" ref="G12:R12">SUM(G13:G13)</f>
        <v>0</v>
      </c>
      <c r="H12" s="21">
        <f t="shared" si="2"/>
        <v>0</v>
      </c>
      <c r="I12" s="21">
        <f t="shared" si="2"/>
        <v>0</v>
      </c>
      <c r="J12" s="20">
        <f t="shared" si="2"/>
        <v>0</v>
      </c>
      <c r="K12" s="20">
        <f t="shared" si="2"/>
        <v>0</v>
      </c>
      <c r="L12" s="20">
        <f t="shared" si="2"/>
        <v>0</v>
      </c>
      <c r="M12" s="20">
        <f t="shared" si="2"/>
        <v>0</v>
      </c>
      <c r="N12" s="20">
        <f t="shared" si="2"/>
        <v>0</v>
      </c>
      <c r="O12" s="20">
        <f t="shared" si="2"/>
        <v>8512</v>
      </c>
      <c r="P12" s="20">
        <f t="shared" si="2"/>
        <v>19539</v>
      </c>
      <c r="Q12" s="20">
        <f t="shared" si="2"/>
        <v>18531</v>
      </c>
      <c r="R12" s="20">
        <f t="shared" si="2"/>
        <v>0</v>
      </c>
      <c r="S12" s="60">
        <f t="shared" si="1"/>
        <v>333833</v>
      </c>
    </row>
    <row r="13" spans="1:19" ht="30">
      <c r="A13" s="63" t="s">
        <v>55</v>
      </c>
      <c r="B13" s="24" t="s">
        <v>56</v>
      </c>
      <c r="C13" s="14">
        <f>232220+55031</f>
        <v>287251</v>
      </c>
      <c r="D13" s="4"/>
      <c r="E13" s="4"/>
      <c r="F13" s="14"/>
      <c r="G13" s="4"/>
      <c r="H13" s="4"/>
      <c r="I13" s="4"/>
      <c r="J13" s="4"/>
      <c r="K13" s="4"/>
      <c r="L13" s="4"/>
      <c r="M13" s="4"/>
      <c r="N13" s="4"/>
      <c r="O13" s="4">
        <v>8512</v>
      </c>
      <c r="P13" s="4">
        <v>19539</v>
      </c>
      <c r="Q13" s="14">
        <v>18531</v>
      </c>
      <c r="R13" s="14"/>
      <c r="S13" s="60">
        <f t="shared" si="1"/>
        <v>333833</v>
      </c>
    </row>
    <row r="14" spans="1:19" ht="29.25">
      <c r="A14" s="61" t="s">
        <v>191</v>
      </c>
      <c r="B14" s="64" t="s">
        <v>192</v>
      </c>
      <c r="C14" s="14">
        <f>2034</f>
        <v>2034</v>
      </c>
      <c r="D14" s="14"/>
      <c r="E14" s="4"/>
      <c r="F14" s="14"/>
      <c r="G14" s="4"/>
      <c r="H14" s="4"/>
      <c r="I14" s="4"/>
      <c r="J14" s="14"/>
      <c r="K14" s="14"/>
      <c r="L14" s="14"/>
      <c r="M14" s="14"/>
      <c r="N14" s="14"/>
      <c r="O14" s="14"/>
      <c r="P14" s="14"/>
      <c r="Q14" s="14"/>
      <c r="R14" s="14"/>
      <c r="S14" s="60">
        <f t="shared" si="1"/>
        <v>2034</v>
      </c>
    </row>
    <row r="15" spans="1:19" ht="29.25">
      <c r="A15" s="61" t="s">
        <v>57</v>
      </c>
      <c r="B15" s="64" t="s">
        <v>58</v>
      </c>
      <c r="C15" s="20">
        <f>SUM(C16:C19)</f>
        <v>845506</v>
      </c>
      <c r="D15" s="20">
        <f aca="true" t="shared" si="3" ref="D15:R15">SUM(D16:D19)</f>
        <v>0</v>
      </c>
      <c r="E15" s="20">
        <f t="shared" si="3"/>
        <v>0</v>
      </c>
      <c r="F15" s="20">
        <f t="shared" si="3"/>
        <v>0</v>
      </c>
      <c r="G15" s="20">
        <f t="shared" si="3"/>
        <v>0</v>
      </c>
      <c r="H15" s="20">
        <f t="shared" si="3"/>
        <v>0</v>
      </c>
      <c r="I15" s="20">
        <f t="shared" si="3"/>
        <v>0</v>
      </c>
      <c r="J15" s="20">
        <f t="shared" si="3"/>
        <v>0</v>
      </c>
      <c r="K15" s="20">
        <f t="shared" si="3"/>
        <v>0</v>
      </c>
      <c r="L15" s="20">
        <f t="shared" si="3"/>
        <v>0</v>
      </c>
      <c r="M15" s="20">
        <f t="shared" si="3"/>
        <v>0</v>
      </c>
      <c r="N15" s="20">
        <f t="shared" si="3"/>
        <v>0</v>
      </c>
      <c r="O15" s="20">
        <f t="shared" si="3"/>
        <v>0</v>
      </c>
      <c r="P15" s="20">
        <f t="shared" si="3"/>
        <v>228800</v>
      </c>
      <c r="Q15" s="20">
        <f t="shared" si="3"/>
        <v>175098</v>
      </c>
      <c r="R15" s="20">
        <f t="shared" si="3"/>
        <v>0</v>
      </c>
      <c r="S15" s="60">
        <f t="shared" si="1"/>
        <v>1249404</v>
      </c>
    </row>
    <row r="16" spans="1:19" ht="30">
      <c r="A16" s="65" t="s">
        <v>299</v>
      </c>
      <c r="B16" s="24" t="s">
        <v>59</v>
      </c>
      <c r="C16" s="14">
        <f>600000</f>
        <v>600000</v>
      </c>
      <c r="D16" s="4"/>
      <c r="E16" s="4"/>
      <c r="F16" s="14"/>
      <c r="G16" s="4"/>
      <c r="H16" s="4"/>
      <c r="I16" s="4"/>
      <c r="J16" s="4"/>
      <c r="K16" s="4"/>
      <c r="L16" s="4"/>
      <c r="M16" s="4"/>
      <c r="N16" s="14"/>
      <c r="O16" s="14"/>
      <c r="P16" s="14">
        <v>228800</v>
      </c>
      <c r="Q16" s="14"/>
      <c r="R16" s="14"/>
      <c r="S16" s="60">
        <f t="shared" si="1"/>
        <v>828800</v>
      </c>
    </row>
    <row r="17" spans="1:19" ht="30">
      <c r="A17" s="65" t="s">
        <v>300</v>
      </c>
      <c r="B17" s="24" t="s">
        <v>271</v>
      </c>
      <c r="C17" s="14">
        <v>145506</v>
      </c>
      <c r="D17" s="4"/>
      <c r="E17" s="4"/>
      <c r="F17" s="14"/>
      <c r="G17" s="4"/>
      <c r="H17" s="4">
        <f>17331-17331</f>
        <v>0</v>
      </c>
      <c r="I17" s="4"/>
      <c r="J17" s="4"/>
      <c r="K17" s="4"/>
      <c r="L17" s="4"/>
      <c r="M17" s="4"/>
      <c r="N17" s="14">
        <f>12000-12000</f>
        <v>0</v>
      </c>
      <c r="O17" s="14"/>
      <c r="P17" s="14"/>
      <c r="Q17" s="14"/>
      <c r="R17" s="14"/>
      <c r="S17" s="60">
        <f t="shared" si="1"/>
        <v>145506</v>
      </c>
    </row>
    <row r="18" spans="1:19" ht="45">
      <c r="A18" s="65" t="s">
        <v>301</v>
      </c>
      <c r="B18" s="66" t="s">
        <v>360</v>
      </c>
      <c r="C18" s="67">
        <v>100000</v>
      </c>
      <c r="D18" s="11"/>
      <c r="E18" s="11"/>
      <c r="F18" s="67"/>
      <c r="G18" s="11"/>
      <c r="H18" s="11"/>
      <c r="I18" s="11"/>
      <c r="J18" s="11"/>
      <c r="K18" s="11"/>
      <c r="L18" s="11"/>
      <c r="M18" s="11"/>
      <c r="N18" s="67"/>
      <c r="O18" s="67"/>
      <c r="P18" s="67"/>
      <c r="Q18" s="67"/>
      <c r="R18" s="14"/>
      <c r="S18" s="60">
        <f t="shared" si="1"/>
        <v>100000</v>
      </c>
    </row>
    <row r="19" spans="1:19" ht="30">
      <c r="A19" s="68" t="s">
        <v>57</v>
      </c>
      <c r="B19" s="66" t="s">
        <v>627</v>
      </c>
      <c r="C19" s="67"/>
      <c r="D19" s="11"/>
      <c r="E19" s="11"/>
      <c r="F19" s="67"/>
      <c r="G19" s="11"/>
      <c r="H19" s="11"/>
      <c r="I19" s="11"/>
      <c r="J19" s="11"/>
      <c r="K19" s="11"/>
      <c r="L19" s="11"/>
      <c r="M19" s="11"/>
      <c r="N19" s="67"/>
      <c r="O19" s="67"/>
      <c r="P19" s="67"/>
      <c r="Q19" s="4">
        <v>175098</v>
      </c>
      <c r="R19" s="69"/>
      <c r="S19" s="60">
        <f t="shared" si="1"/>
        <v>175098</v>
      </c>
    </row>
    <row r="20" spans="1:19" s="76" customFormat="1" ht="15" thickBot="1">
      <c r="A20" s="70" t="s">
        <v>60</v>
      </c>
      <c r="B20" s="71" t="s">
        <v>193</v>
      </c>
      <c r="C20" s="15">
        <f>600000-547645</f>
        <v>52355</v>
      </c>
      <c r="D20" s="72"/>
      <c r="E20" s="72"/>
      <c r="F20" s="15"/>
      <c r="G20" s="73"/>
      <c r="H20" s="72"/>
      <c r="I20" s="72">
        <v>2080</v>
      </c>
      <c r="J20" s="72">
        <v>5551</v>
      </c>
      <c r="K20" s="72"/>
      <c r="L20" s="72"/>
      <c r="M20" s="72"/>
      <c r="N20" s="15"/>
      <c r="O20" s="15">
        <v>25000</v>
      </c>
      <c r="P20" s="15">
        <v>18744</v>
      </c>
      <c r="Q20" s="73">
        <v>23594</v>
      </c>
      <c r="R20" s="74"/>
      <c r="S20" s="75">
        <f>SUM(C20:R20)</f>
        <v>127324</v>
      </c>
    </row>
    <row r="21" spans="1:19" ht="15.75" thickBot="1">
      <c r="A21" s="77" t="s">
        <v>61</v>
      </c>
      <c r="B21" s="47" t="s">
        <v>62</v>
      </c>
      <c r="C21" s="48">
        <f>SUM(C22:C23,C26:C27)</f>
        <v>860035</v>
      </c>
      <c r="D21" s="48">
        <f aca="true" t="shared" si="4" ref="D21:M21">SUM(D22:D23,D26:D27)</f>
        <v>0</v>
      </c>
      <c r="E21" s="48">
        <f t="shared" si="4"/>
        <v>0</v>
      </c>
      <c r="F21" s="48">
        <f t="shared" si="4"/>
        <v>0</v>
      </c>
      <c r="G21" s="48">
        <f t="shared" si="4"/>
        <v>5741</v>
      </c>
      <c r="H21" s="48">
        <f t="shared" si="4"/>
        <v>0</v>
      </c>
      <c r="I21" s="48">
        <f t="shared" si="4"/>
        <v>0</v>
      </c>
      <c r="J21" s="48">
        <f t="shared" si="4"/>
        <v>5200</v>
      </c>
      <c r="K21" s="48">
        <f t="shared" si="4"/>
        <v>0</v>
      </c>
      <c r="L21" s="48">
        <f t="shared" si="4"/>
        <v>0</v>
      </c>
      <c r="M21" s="48">
        <f t="shared" si="4"/>
        <v>0</v>
      </c>
      <c r="N21" s="48">
        <f>SUM(N22:N23,N26:N27)</f>
        <v>700</v>
      </c>
      <c r="O21" s="48">
        <f>SUM(O22:O23,O26:O27)</f>
        <v>73053</v>
      </c>
      <c r="P21" s="48">
        <f>SUM(P22:P23,P26:P27)</f>
        <v>204313</v>
      </c>
      <c r="Q21" s="78">
        <f>SUM(Q22:Q23,Q25,Q26:Q27)</f>
        <v>284871</v>
      </c>
      <c r="R21" s="78">
        <f>SUM(R22:R23,R25,R26:R27)</f>
        <v>0</v>
      </c>
      <c r="S21" s="49">
        <f>SUM(C21:R21)</f>
        <v>1433913</v>
      </c>
    </row>
    <row r="22" spans="1:19" ht="15">
      <c r="A22" s="50" t="s">
        <v>194</v>
      </c>
      <c r="B22" s="51" t="s">
        <v>18</v>
      </c>
      <c r="C22" s="16">
        <v>562875</v>
      </c>
      <c r="D22" s="52"/>
      <c r="E22" s="52"/>
      <c r="F22" s="16"/>
      <c r="G22" s="52"/>
      <c r="H22" s="52"/>
      <c r="I22" s="52"/>
      <c r="J22" s="52"/>
      <c r="K22" s="52"/>
      <c r="L22" s="52"/>
      <c r="M22" s="52"/>
      <c r="N22" s="16"/>
      <c r="O22" s="16">
        <v>73053</v>
      </c>
      <c r="P22" s="16">
        <v>204313</v>
      </c>
      <c r="Q22" s="12">
        <v>270918</v>
      </c>
      <c r="R22" s="79"/>
      <c r="S22" s="56">
        <f aca="true" t="shared" si="5" ref="S22:S77">SUM(C22:R22)</f>
        <v>1111159</v>
      </c>
    </row>
    <row r="23" spans="1:19" ht="29.25">
      <c r="A23" s="80" t="s">
        <v>263</v>
      </c>
      <c r="B23" s="81" t="s">
        <v>265</v>
      </c>
      <c r="C23" s="20">
        <f aca="true" t="shared" si="6" ref="C23:R23">SUM(C24:C24)</f>
        <v>204130</v>
      </c>
      <c r="D23" s="20">
        <f t="shared" si="6"/>
        <v>0</v>
      </c>
      <c r="E23" s="20">
        <f t="shared" si="6"/>
        <v>0</v>
      </c>
      <c r="F23" s="20">
        <f t="shared" si="6"/>
        <v>0</v>
      </c>
      <c r="G23" s="20">
        <f t="shared" si="6"/>
        <v>0</v>
      </c>
      <c r="H23" s="20">
        <f t="shared" si="6"/>
        <v>0</v>
      </c>
      <c r="I23" s="20">
        <f t="shared" si="6"/>
        <v>0</v>
      </c>
      <c r="J23" s="20">
        <f t="shared" si="6"/>
        <v>0</v>
      </c>
      <c r="K23" s="20">
        <f t="shared" si="6"/>
        <v>0</v>
      </c>
      <c r="L23" s="20">
        <f t="shared" si="6"/>
        <v>0</v>
      </c>
      <c r="M23" s="20">
        <f t="shared" si="6"/>
        <v>0</v>
      </c>
      <c r="N23" s="20">
        <f t="shared" si="6"/>
        <v>0</v>
      </c>
      <c r="O23" s="20">
        <f t="shared" si="6"/>
        <v>0</v>
      </c>
      <c r="P23" s="20">
        <f t="shared" si="6"/>
        <v>0</v>
      </c>
      <c r="Q23" s="20">
        <f t="shared" si="6"/>
        <v>0</v>
      </c>
      <c r="R23" s="20">
        <f t="shared" si="6"/>
        <v>0</v>
      </c>
      <c r="S23" s="60">
        <f t="shared" si="5"/>
        <v>204130</v>
      </c>
    </row>
    <row r="24" spans="1:19" ht="30">
      <c r="A24" s="82" t="s">
        <v>302</v>
      </c>
      <c r="B24" s="83" t="s">
        <v>474</v>
      </c>
      <c r="C24" s="14">
        <v>204130</v>
      </c>
      <c r="D24" s="4"/>
      <c r="E24" s="4"/>
      <c r="F24" s="14"/>
      <c r="G24" s="4"/>
      <c r="H24" s="4"/>
      <c r="I24" s="4"/>
      <c r="J24" s="4"/>
      <c r="K24" s="4"/>
      <c r="L24" s="4"/>
      <c r="M24" s="4"/>
      <c r="N24" s="14"/>
      <c r="O24" s="4"/>
      <c r="P24" s="14"/>
      <c r="Q24" s="4"/>
      <c r="R24" s="14"/>
      <c r="S24" s="60">
        <f t="shared" si="5"/>
        <v>204130</v>
      </c>
    </row>
    <row r="25" spans="1:19" ht="15">
      <c r="A25" s="84" t="s">
        <v>654</v>
      </c>
      <c r="B25" s="83" t="s">
        <v>655</v>
      </c>
      <c r="C25" s="17"/>
      <c r="D25" s="85"/>
      <c r="E25" s="85"/>
      <c r="F25" s="17"/>
      <c r="G25" s="85"/>
      <c r="H25" s="85"/>
      <c r="I25" s="85"/>
      <c r="J25" s="85"/>
      <c r="K25" s="85"/>
      <c r="L25" s="85"/>
      <c r="M25" s="85"/>
      <c r="N25" s="17"/>
      <c r="O25" s="85"/>
      <c r="P25" s="17"/>
      <c r="Q25" s="17">
        <v>13953</v>
      </c>
      <c r="R25" s="14"/>
      <c r="S25" s="60">
        <f t="shared" si="5"/>
        <v>13953</v>
      </c>
    </row>
    <row r="26" spans="1:19" s="76" customFormat="1" ht="28.5">
      <c r="A26" s="86" t="s">
        <v>63</v>
      </c>
      <c r="B26" s="62" t="s">
        <v>195</v>
      </c>
      <c r="C26" s="21">
        <v>33030</v>
      </c>
      <c r="D26" s="21"/>
      <c r="E26" s="21"/>
      <c r="F26" s="20"/>
      <c r="G26" s="21">
        <v>5741</v>
      </c>
      <c r="H26" s="21"/>
      <c r="I26" s="21"/>
      <c r="J26" s="21">
        <v>5200</v>
      </c>
      <c r="K26" s="21"/>
      <c r="L26" s="21"/>
      <c r="M26" s="21"/>
      <c r="N26" s="20">
        <v>700</v>
      </c>
      <c r="O26" s="21"/>
      <c r="P26" s="20"/>
      <c r="Q26" s="20"/>
      <c r="R26" s="20"/>
      <c r="S26" s="60">
        <f t="shared" si="5"/>
        <v>44671</v>
      </c>
    </row>
    <row r="27" spans="1:19" s="76" customFormat="1" ht="15" thickBot="1">
      <c r="A27" s="87" t="s">
        <v>337</v>
      </c>
      <c r="B27" s="88" t="s">
        <v>338</v>
      </c>
      <c r="C27" s="89">
        <v>60000</v>
      </c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73"/>
      <c r="R27" s="74"/>
      <c r="S27" s="75">
        <f t="shared" si="5"/>
        <v>60000</v>
      </c>
    </row>
    <row r="28" spans="1:19" ht="15.75" thickBot="1">
      <c r="A28" s="77" t="s">
        <v>1</v>
      </c>
      <c r="B28" s="47" t="s">
        <v>64</v>
      </c>
      <c r="C28" s="78">
        <f aca="true" t="shared" si="7" ref="C28:R28">SUM(C29,C38,C41:C43,C74,C76,C77,C78,C79,C80,)</f>
        <v>9940095</v>
      </c>
      <c r="D28" s="78">
        <f t="shared" si="7"/>
        <v>119966</v>
      </c>
      <c r="E28" s="78">
        <f t="shared" si="7"/>
        <v>0</v>
      </c>
      <c r="F28" s="78">
        <f t="shared" si="7"/>
        <v>0</v>
      </c>
      <c r="G28" s="78">
        <f t="shared" si="7"/>
        <v>157991</v>
      </c>
      <c r="H28" s="78">
        <f t="shared" si="7"/>
        <v>50964</v>
      </c>
      <c r="I28" s="78">
        <f t="shared" si="7"/>
        <v>62694</v>
      </c>
      <c r="J28" s="78">
        <f t="shared" si="7"/>
        <v>261871</v>
      </c>
      <c r="K28" s="78">
        <f t="shared" si="7"/>
        <v>38178</v>
      </c>
      <c r="L28" s="78">
        <f t="shared" si="7"/>
        <v>50439</v>
      </c>
      <c r="M28" s="78">
        <f t="shared" si="7"/>
        <v>32238</v>
      </c>
      <c r="N28" s="78">
        <f t="shared" si="7"/>
        <v>47860</v>
      </c>
      <c r="O28" s="78">
        <f t="shared" si="7"/>
        <v>29391</v>
      </c>
      <c r="P28" s="78">
        <f t="shared" si="7"/>
        <v>3600318</v>
      </c>
      <c r="Q28" s="78">
        <f t="shared" si="7"/>
        <v>1942111</v>
      </c>
      <c r="R28" s="78">
        <f t="shared" si="7"/>
        <v>324838</v>
      </c>
      <c r="S28" s="49">
        <f t="shared" si="5"/>
        <v>16658954</v>
      </c>
    </row>
    <row r="29" spans="1:19" ht="15">
      <c r="A29" s="50" t="s">
        <v>65</v>
      </c>
      <c r="B29" s="58" t="s">
        <v>66</v>
      </c>
      <c r="C29" s="18">
        <f aca="true" t="shared" si="8" ref="C29:P29">SUM(C30:C34)</f>
        <v>260420</v>
      </c>
      <c r="D29" s="18">
        <f t="shared" si="8"/>
        <v>0</v>
      </c>
      <c r="E29" s="18">
        <f t="shared" si="8"/>
        <v>0</v>
      </c>
      <c r="F29" s="18">
        <f t="shared" si="8"/>
        <v>0</v>
      </c>
      <c r="G29" s="58">
        <f t="shared" si="8"/>
        <v>0</v>
      </c>
      <c r="H29" s="18">
        <f t="shared" si="8"/>
        <v>0</v>
      </c>
      <c r="I29" s="18">
        <f t="shared" si="8"/>
        <v>0</v>
      </c>
      <c r="J29" s="18">
        <f t="shared" si="8"/>
        <v>0</v>
      </c>
      <c r="K29" s="18">
        <f t="shared" si="8"/>
        <v>0</v>
      </c>
      <c r="L29" s="18">
        <f t="shared" si="8"/>
        <v>0</v>
      </c>
      <c r="M29" s="18">
        <f t="shared" si="8"/>
        <v>0</v>
      </c>
      <c r="N29" s="18">
        <f t="shared" si="8"/>
        <v>0</v>
      </c>
      <c r="O29" s="18">
        <f t="shared" si="8"/>
        <v>0</v>
      </c>
      <c r="P29" s="18">
        <f t="shared" si="8"/>
        <v>6928</v>
      </c>
      <c r="Q29" s="58">
        <f>SUM(Q30:Q37)</f>
        <v>204584</v>
      </c>
      <c r="R29" s="58">
        <f>SUM(R30:R34)</f>
        <v>0</v>
      </c>
      <c r="S29" s="56">
        <f t="shared" si="5"/>
        <v>471932</v>
      </c>
    </row>
    <row r="30" spans="1:19" ht="15">
      <c r="A30" s="90" t="s">
        <v>196</v>
      </c>
      <c r="B30" s="52" t="s">
        <v>197</v>
      </c>
      <c r="C30" s="16">
        <f>10000+11000</f>
        <v>21000</v>
      </c>
      <c r="D30" s="52"/>
      <c r="E30" s="52"/>
      <c r="F30" s="16"/>
      <c r="G30" s="52"/>
      <c r="H30" s="52"/>
      <c r="I30" s="52"/>
      <c r="J30" s="52"/>
      <c r="K30" s="52"/>
      <c r="L30" s="52"/>
      <c r="M30" s="52"/>
      <c r="N30" s="16"/>
      <c r="O30" s="16"/>
      <c r="P30" s="16"/>
      <c r="Q30" s="16"/>
      <c r="R30" s="14"/>
      <c r="S30" s="60">
        <f t="shared" si="5"/>
        <v>21000</v>
      </c>
    </row>
    <row r="31" spans="1:19" ht="30">
      <c r="A31" s="90" t="s">
        <v>303</v>
      </c>
      <c r="B31" s="91" t="s">
        <v>361</v>
      </c>
      <c r="C31" s="16">
        <f>80694+6803</f>
        <v>87497</v>
      </c>
      <c r="D31" s="52"/>
      <c r="E31" s="52"/>
      <c r="F31" s="16"/>
      <c r="G31" s="52"/>
      <c r="H31" s="52"/>
      <c r="I31" s="52"/>
      <c r="J31" s="52"/>
      <c r="K31" s="52"/>
      <c r="L31" s="52"/>
      <c r="M31" s="52"/>
      <c r="N31" s="16"/>
      <c r="O31" s="16"/>
      <c r="P31" s="16">
        <v>6928</v>
      </c>
      <c r="Q31" s="16"/>
      <c r="R31" s="14"/>
      <c r="S31" s="60">
        <f t="shared" si="5"/>
        <v>94425</v>
      </c>
    </row>
    <row r="32" spans="1:19" ht="15">
      <c r="A32" s="90" t="s">
        <v>304</v>
      </c>
      <c r="B32" s="92" t="s">
        <v>291</v>
      </c>
      <c r="C32" s="16">
        <f>5000</f>
        <v>5000</v>
      </c>
      <c r="D32" s="52"/>
      <c r="E32" s="52"/>
      <c r="F32" s="16"/>
      <c r="G32" s="52"/>
      <c r="H32" s="52"/>
      <c r="I32" s="52"/>
      <c r="J32" s="52"/>
      <c r="K32" s="52"/>
      <c r="L32" s="52"/>
      <c r="M32" s="52"/>
      <c r="N32" s="16"/>
      <c r="O32" s="16"/>
      <c r="P32" s="16"/>
      <c r="Q32" s="16">
        <v>5000</v>
      </c>
      <c r="R32" s="14"/>
      <c r="S32" s="60">
        <f t="shared" si="5"/>
        <v>10000</v>
      </c>
    </row>
    <row r="33" spans="1:19" ht="30">
      <c r="A33" s="93" t="s">
        <v>279</v>
      </c>
      <c r="B33" s="94" t="s">
        <v>330</v>
      </c>
      <c r="C33" s="16">
        <v>19200</v>
      </c>
      <c r="D33" s="52"/>
      <c r="E33" s="52"/>
      <c r="F33" s="16"/>
      <c r="G33" s="52"/>
      <c r="H33" s="52"/>
      <c r="I33" s="52"/>
      <c r="J33" s="52"/>
      <c r="K33" s="52"/>
      <c r="L33" s="52"/>
      <c r="M33" s="52"/>
      <c r="N33" s="16"/>
      <c r="O33" s="16"/>
      <c r="P33" s="16"/>
      <c r="Q33" s="16"/>
      <c r="R33" s="14"/>
      <c r="S33" s="60">
        <f t="shared" si="5"/>
        <v>19200</v>
      </c>
    </row>
    <row r="34" spans="1:19" ht="15">
      <c r="A34" s="93" t="s">
        <v>339</v>
      </c>
      <c r="B34" s="94" t="s">
        <v>340</v>
      </c>
      <c r="C34" s="16">
        <f>110000+17723</f>
        <v>127723</v>
      </c>
      <c r="D34" s="52"/>
      <c r="E34" s="52"/>
      <c r="F34" s="16"/>
      <c r="G34" s="52"/>
      <c r="H34" s="52"/>
      <c r="I34" s="52"/>
      <c r="J34" s="52"/>
      <c r="K34" s="52"/>
      <c r="L34" s="52"/>
      <c r="M34" s="52"/>
      <c r="N34" s="16"/>
      <c r="O34" s="16"/>
      <c r="P34" s="16"/>
      <c r="Q34" s="16"/>
      <c r="R34" s="14"/>
      <c r="S34" s="60">
        <f t="shared" si="5"/>
        <v>127723</v>
      </c>
    </row>
    <row r="35" spans="1:19" ht="15">
      <c r="A35" s="93" t="s">
        <v>65</v>
      </c>
      <c r="B35" s="95" t="s">
        <v>628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>
        <v>114575</v>
      </c>
      <c r="R35" s="14"/>
      <c r="S35" s="60">
        <f t="shared" si="5"/>
        <v>114575</v>
      </c>
    </row>
    <row r="36" spans="1:19" ht="15">
      <c r="A36" s="93" t="s">
        <v>65</v>
      </c>
      <c r="B36" s="95" t="s">
        <v>629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>
        <v>59113</v>
      </c>
      <c r="R36" s="14"/>
      <c r="S36" s="60">
        <f t="shared" si="5"/>
        <v>59113</v>
      </c>
    </row>
    <row r="37" spans="1:19" ht="30">
      <c r="A37" s="93" t="s">
        <v>65</v>
      </c>
      <c r="B37" s="95" t="s">
        <v>315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>
        <v>25896</v>
      </c>
      <c r="R37" s="14"/>
      <c r="S37" s="60">
        <f t="shared" si="5"/>
        <v>25896</v>
      </c>
    </row>
    <row r="38" spans="1:19" ht="15">
      <c r="A38" s="61" t="s">
        <v>67</v>
      </c>
      <c r="B38" s="62" t="s">
        <v>198</v>
      </c>
      <c r="C38" s="20">
        <f aca="true" t="shared" si="9" ref="C38:R38">SUM(C39:C40)</f>
        <v>536668</v>
      </c>
      <c r="D38" s="20">
        <f t="shared" si="9"/>
        <v>0</v>
      </c>
      <c r="E38" s="20">
        <f t="shared" si="9"/>
        <v>0</v>
      </c>
      <c r="F38" s="20">
        <f t="shared" si="9"/>
        <v>0</v>
      </c>
      <c r="G38" s="20">
        <f t="shared" si="9"/>
        <v>0</v>
      </c>
      <c r="H38" s="20">
        <f t="shared" si="9"/>
        <v>0</v>
      </c>
      <c r="I38" s="20">
        <f t="shared" si="9"/>
        <v>0</v>
      </c>
      <c r="J38" s="20">
        <f t="shared" si="9"/>
        <v>0</v>
      </c>
      <c r="K38" s="20">
        <f t="shared" si="9"/>
        <v>0</v>
      </c>
      <c r="L38" s="20">
        <f t="shared" si="9"/>
        <v>0</v>
      </c>
      <c r="M38" s="20">
        <f t="shared" si="9"/>
        <v>0</v>
      </c>
      <c r="N38" s="20">
        <f t="shared" si="9"/>
        <v>0</v>
      </c>
      <c r="O38" s="20">
        <f t="shared" si="9"/>
        <v>0</v>
      </c>
      <c r="P38" s="20">
        <f t="shared" si="9"/>
        <v>0</v>
      </c>
      <c r="Q38" s="20">
        <f t="shared" si="9"/>
        <v>0</v>
      </c>
      <c r="R38" s="20">
        <f t="shared" si="9"/>
        <v>0</v>
      </c>
      <c r="S38" s="60">
        <f t="shared" si="5"/>
        <v>536668</v>
      </c>
    </row>
    <row r="39" spans="1:19" ht="47.25">
      <c r="A39" s="90" t="s">
        <v>362</v>
      </c>
      <c r="B39" s="7" t="s">
        <v>363</v>
      </c>
      <c r="C39" s="16">
        <v>24000</v>
      </c>
      <c r="D39" s="21"/>
      <c r="E39" s="21"/>
      <c r="F39" s="20"/>
      <c r="G39" s="4"/>
      <c r="H39" s="4"/>
      <c r="I39" s="4"/>
      <c r="J39" s="4"/>
      <c r="K39" s="4"/>
      <c r="L39" s="4"/>
      <c r="M39" s="4"/>
      <c r="N39" s="14"/>
      <c r="O39" s="14"/>
      <c r="P39" s="14"/>
      <c r="Q39" s="14"/>
      <c r="R39" s="14"/>
      <c r="S39" s="60">
        <f t="shared" si="5"/>
        <v>24000</v>
      </c>
    </row>
    <row r="40" spans="1:19" ht="75">
      <c r="A40" s="90" t="s">
        <v>280</v>
      </c>
      <c r="B40" s="96" t="s">
        <v>400</v>
      </c>
      <c r="C40" s="16">
        <v>512668</v>
      </c>
      <c r="D40" s="21"/>
      <c r="E40" s="21"/>
      <c r="F40" s="20"/>
      <c r="G40" s="4"/>
      <c r="H40" s="4"/>
      <c r="I40" s="4"/>
      <c r="J40" s="4"/>
      <c r="K40" s="4"/>
      <c r="L40" s="4"/>
      <c r="M40" s="4"/>
      <c r="N40" s="14"/>
      <c r="O40" s="14"/>
      <c r="P40" s="14"/>
      <c r="Q40" s="14"/>
      <c r="R40" s="14"/>
      <c r="S40" s="60">
        <f t="shared" si="5"/>
        <v>512668</v>
      </c>
    </row>
    <row r="41" spans="1:19" ht="15">
      <c r="A41" s="50" t="s">
        <v>68</v>
      </c>
      <c r="B41" s="51" t="s">
        <v>69</v>
      </c>
      <c r="C41" s="18"/>
      <c r="D41" s="4"/>
      <c r="E41" s="4"/>
      <c r="F41" s="14"/>
      <c r="G41" s="4"/>
      <c r="H41" s="4"/>
      <c r="I41" s="4"/>
      <c r="J41" s="4"/>
      <c r="K41" s="4">
        <v>400</v>
      </c>
      <c r="L41" s="4"/>
      <c r="M41" s="4"/>
      <c r="N41" s="14"/>
      <c r="O41" s="14"/>
      <c r="P41" s="14"/>
      <c r="Q41" s="14"/>
      <c r="R41" s="14"/>
      <c r="S41" s="60">
        <f t="shared" si="5"/>
        <v>400</v>
      </c>
    </row>
    <row r="42" spans="1:19" ht="15">
      <c r="A42" s="50" t="s">
        <v>305</v>
      </c>
      <c r="B42" s="51" t="s">
        <v>140</v>
      </c>
      <c r="C42" s="18">
        <f>266745+117875</f>
        <v>384620</v>
      </c>
      <c r="D42" s="14"/>
      <c r="E42" s="4"/>
      <c r="F42" s="14"/>
      <c r="G42" s="4"/>
      <c r="H42" s="4"/>
      <c r="I42" s="4"/>
      <c r="J42" s="4"/>
      <c r="K42" s="14"/>
      <c r="L42" s="14"/>
      <c r="M42" s="14"/>
      <c r="N42" s="14"/>
      <c r="O42" s="14">
        <v>29391</v>
      </c>
      <c r="P42" s="14">
        <v>83623</v>
      </c>
      <c r="Q42" s="14">
        <v>120128</v>
      </c>
      <c r="R42" s="14"/>
      <c r="S42" s="60">
        <f t="shared" si="5"/>
        <v>617762</v>
      </c>
    </row>
    <row r="43" spans="1:19" ht="15">
      <c r="A43" s="61" t="s">
        <v>70</v>
      </c>
      <c r="B43" s="62" t="s">
        <v>71</v>
      </c>
      <c r="C43" s="20">
        <f aca="true" t="shared" si="10" ref="C43:Q43">SUM(C44:C73)</f>
        <v>8629453</v>
      </c>
      <c r="D43" s="20">
        <f t="shared" si="10"/>
        <v>119966</v>
      </c>
      <c r="E43" s="20">
        <f t="shared" si="10"/>
        <v>0</v>
      </c>
      <c r="F43" s="20">
        <f t="shared" si="10"/>
        <v>0</v>
      </c>
      <c r="G43" s="20">
        <f t="shared" si="10"/>
        <v>157991</v>
      </c>
      <c r="H43" s="20">
        <f t="shared" si="10"/>
        <v>50964</v>
      </c>
      <c r="I43" s="20">
        <f t="shared" si="10"/>
        <v>62694</v>
      </c>
      <c r="J43" s="20">
        <f t="shared" si="10"/>
        <v>261871</v>
      </c>
      <c r="K43" s="20">
        <f t="shared" si="10"/>
        <v>37778</v>
      </c>
      <c r="L43" s="20">
        <f t="shared" si="10"/>
        <v>50439</v>
      </c>
      <c r="M43" s="20">
        <f t="shared" si="10"/>
        <v>32238</v>
      </c>
      <c r="N43" s="20">
        <f t="shared" si="10"/>
        <v>47860</v>
      </c>
      <c r="O43" s="20">
        <f t="shared" si="10"/>
        <v>0</v>
      </c>
      <c r="P43" s="20">
        <f t="shared" si="10"/>
        <v>3484437</v>
      </c>
      <c r="Q43" s="20">
        <f t="shared" si="10"/>
        <v>1532019</v>
      </c>
      <c r="R43" s="20">
        <f>SUM(R44:R69)</f>
        <v>0</v>
      </c>
      <c r="S43" s="60">
        <f t="shared" si="5"/>
        <v>14467710</v>
      </c>
    </row>
    <row r="44" spans="1:19" ht="15">
      <c r="A44" s="97" t="s">
        <v>329</v>
      </c>
      <c r="B44" s="24" t="s">
        <v>72</v>
      </c>
      <c r="C44" s="14">
        <f>1507312-22040</f>
        <v>1485272</v>
      </c>
      <c r="D44" s="4"/>
      <c r="E44" s="4"/>
      <c r="F44" s="14"/>
      <c r="G44" s="4"/>
      <c r="H44" s="4">
        <f>35247-799</f>
        <v>34448</v>
      </c>
      <c r="I44" s="4">
        <v>49836</v>
      </c>
      <c r="J44" s="4">
        <v>69724</v>
      </c>
      <c r="K44" s="4">
        <v>37778</v>
      </c>
      <c r="L44" s="4">
        <v>50439</v>
      </c>
      <c r="M44" s="98">
        <v>32238</v>
      </c>
      <c r="N44" s="14"/>
      <c r="O44" s="99"/>
      <c r="P44" s="99">
        <v>689681</v>
      </c>
      <c r="Q44" s="14">
        <v>1532019</v>
      </c>
      <c r="R44" s="14"/>
      <c r="S44" s="60">
        <f t="shared" si="5"/>
        <v>3981435</v>
      </c>
    </row>
    <row r="45" spans="1:19" ht="15">
      <c r="A45" s="63" t="s">
        <v>199</v>
      </c>
      <c r="B45" s="101" t="s">
        <v>200</v>
      </c>
      <c r="C45" s="14"/>
      <c r="D45" s="4">
        <v>119966</v>
      </c>
      <c r="E45" s="4"/>
      <c r="F45" s="14"/>
      <c r="G45" s="4">
        <v>157991</v>
      </c>
      <c r="H45" s="4">
        <v>16516</v>
      </c>
      <c r="I45" s="4">
        <v>12858</v>
      </c>
      <c r="J45" s="4">
        <v>55102</v>
      </c>
      <c r="K45" s="4"/>
      <c r="L45" s="4"/>
      <c r="M45" s="4"/>
      <c r="N45" s="69">
        <v>47860</v>
      </c>
      <c r="O45" s="4"/>
      <c r="P45" s="4"/>
      <c r="Q45" s="69"/>
      <c r="R45" s="14"/>
      <c r="S45" s="60">
        <f t="shared" si="5"/>
        <v>410293</v>
      </c>
    </row>
    <row r="46" spans="1:19" ht="15">
      <c r="A46" s="63" t="s">
        <v>456</v>
      </c>
      <c r="B46" s="101" t="s">
        <v>457</v>
      </c>
      <c r="C46" s="14">
        <v>319720</v>
      </c>
      <c r="D46" s="4"/>
      <c r="E46" s="4"/>
      <c r="F46" s="14"/>
      <c r="G46" s="4"/>
      <c r="H46" s="4"/>
      <c r="I46" s="4"/>
      <c r="J46" s="14"/>
      <c r="K46" s="14"/>
      <c r="L46" s="14"/>
      <c r="M46" s="4"/>
      <c r="N46" s="69"/>
      <c r="O46" s="4"/>
      <c r="P46" s="4"/>
      <c r="Q46" s="69"/>
      <c r="R46" s="14"/>
      <c r="S46" s="60">
        <f t="shared" si="5"/>
        <v>319720</v>
      </c>
    </row>
    <row r="47" spans="1:19" ht="15.75">
      <c r="A47" s="102" t="s">
        <v>364</v>
      </c>
      <c r="B47" s="7" t="s">
        <v>365</v>
      </c>
      <c r="C47" s="14">
        <f>187586+40819</f>
        <v>228405</v>
      </c>
      <c r="D47" s="4"/>
      <c r="E47" s="4"/>
      <c r="F47" s="14"/>
      <c r="G47" s="4"/>
      <c r="H47" s="4"/>
      <c r="I47" s="4"/>
      <c r="J47" s="14"/>
      <c r="K47" s="14"/>
      <c r="L47" s="14"/>
      <c r="M47" s="14"/>
      <c r="N47" s="14"/>
      <c r="O47" s="14"/>
      <c r="P47" s="14"/>
      <c r="Q47" s="14"/>
      <c r="R47" s="14"/>
      <c r="S47" s="60">
        <f t="shared" si="5"/>
        <v>228405</v>
      </c>
    </row>
    <row r="48" spans="1:19" ht="63">
      <c r="A48" s="102" t="s">
        <v>401</v>
      </c>
      <c r="B48" s="7" t="s">
        <v>475</v>
      </c>
      <c r="C48" s="14">
        <f>918513+228086</f>
        <v>1146599</v>
      </c>
      <c r="D48" s="4"/>
      <c r="E48" s="4"/>
      <c r="F48" s="14"/>
      <c r="G48" s="4"/>
      <c r="H48" s="4"/>
      <c r="I48" s="4"/>
      <c r="J48" s="14"/>
      <c r="K48" s="14"/>
      <c r="L48" s="14"/>
      <c r="M48" s="14"/>
      <c r="N48" s="14"/>
      <c r="O48" s="14"/>
      <c r="P48" s="14"/>
      <c r="Q48" s="14"/>
      <c r="R48" s="14"/>
      <c r="S48" s="60">
        <f t="shared" si="5"/>
        <v>1146599</v>
      </c>
    </row>
    <row r="49" spans="1:19" ht="15.75">
      <c r="A49" s="102" t="s">
        <v>402</v>
      </c>
      <c r="B49" s="7" t="s">
        <v>468</v>
      </c>
      <c r="C49" s="14">
        <v>46402</v>
      </c>
      <c r="D49" s="4"/>
      <c r="E49" s="4"/>
      <c r="F49" s="14"/>
      <c r="G49" s="4"/>
      <c r="H49" s="4"/>
      <c r="I49" s="4"/>
      <c r="J49" s="14"/>
      <c r="K49" s="14"/>
      <c r="L49" s="14"/>
      <c r="M49" s="14"/>
      <c r="N49" s="14"/>
      <c r="O49" s="14"/>
      <c r="P49" s="14"/>
      <c r="Q49" s="14"/>
      <c r="R49" s="14"/>
      <c r="S49" s="60">
        <f t="shared" si="5"/>
        <v>46402</v>
      </c>
    </row>
    <row r="50" spans="1:19" ht="47.25">
      <c r="A50" s="102" t="s">
        <v>403</v>
      </c>
      <c r="B50" s="7" t="s">
        <v>500</v>
      </c>
      <c r="C50" s="14">
        <f>771427+13500</f>
        <v>784927</v>
      </c>
      <c r="D50" s="4"/>
      <c r="E50" s="4"/>
      <c r="F50" s="14"/>
      <c r="G50" s="4"/>
      <c r="H50" s="4"/>
      <c r="I50" s="4"/>
      <c r="J50" s="14"/>
      <c r="K50" s="14"/>
      <c r="L50" s="14"/>
      <c r="M50" s="14"/>
      <c r="N50" s="14"/>
      <c r="O50" s="14"/>
      <c r="P50" s="14"/>
      <c r="Q50" s="14"/>
      <c r="R50" s="14"/>
      <c r="S50" s="60">
        <f t="shared" si="5"/>
        <v>784927</v>
      </c>
    </row>
    <row r="51" spans="1:19" ht="15">
      <c r="A51" s="102" t="s">
        <v>458</v>
      </c>
      <c r="B51" s="103" t="s">
        <v>459</v>
      </c>
      <c r="C51" s="14">
        <f>460792+19740</f>
        <v>480532</v>
      </c>
      <c r="D51" s="4"/>
      <c r="E51" s="4"/>
      <c r="F51" s="14"/>
      <c r="G51" s="4"/>
      <c r="H51" s="4"/>
      <c r="I51" s="4"/>
      <c r="J51" s="14"/>
      <c r="K51" s="14"/>
      <c r="L51" s="14"/>
      <c r="M51" s="14"/>
      <c r="N51" s="14"/>
      <c r="O51" s="14"/>
      <c r="P51" s="14"/>
      <c r="Q51" s="14"/>
      <c r="R51" s="14"/>
      <c r="S51" s="60">
        <f t="shared" si="5"/>
        <v>480532</v>
      </c>
    </row>
    <row r="52" spans="1:19" ht="15">
      <c r="A52" s="102" t="s">
        <v>460</v>
      </c>
      <c r="B52" s="103" t="s">
        <v>463</v>
      </c>
      <c r="C52" s="14">
        <v>85400</v>
      </c>
      <c r="D52" s="4"/>
      <c r="E52" s="4"/>
      <c r="F52" s="14"/>
      <c r="G52" s="4"/>
      <c r="H52" s="4"/>
      <c r="I52" s="4"/>
      <c r="J52" s="14"/>
      <c r="K52" s="14"/>
      <c r="L52" s="14"/>
      <c r="M52" s="14"/>
      <c r="N52" s="14"/>
      <c r="O52" s="14"/>
      <c r="P52" s="14"/>
      <c r="Q52" s="14"/>
      <c r="R52" s="14"/>
      <c r="S52" s="60">
        <f t="shared" si="5"/>
        <v>85400</v>
      </c>
    </row>
    <row r="53" spans="1:19" ht="15">
      <c r="A53" s="102" t="s">
        <v>461</v>
      </c>
      <c r="B53" s="103" t="s">
        <v>464</v>
      </c>
      <c r="C53" s="14">
        <v>29354</v>
      </c>
      <c r="D53" s="4"/>
      <c r="E53" s="4"/>
      <c r="F53" s="14"/>
      <c r="G53" s="4"/>
      <c r="H53" s="4"/>
      <c r="I53" s="4"/>
      <c r="J53" s="14"/>
      <c r="K53" s="14"/>
      <c r="L53" s="14"/>
      <c r="M53" s="14"/>
      <c r="N53" s="14"/>
      <c r="O53" s="14"/>
      <c r="P53" s="14"/>
      <c r="Q53" s="14"/>
      <c r="R53" s="14"/>
      <c r="S53" s="60">
        <f t="shared" si="5"/>
        <v>29354</v>
      </c>
    </row>
    <row r="54" spans="1:19" ht="45">
      <c r="A54" s="102" t="s">
        <v>462</v>
      </c>
      <c r="B54" s="103" t="s">
        <v>465</v>
      </c>
      <c r="C54" s="14">
        <v>619622</v>
      </c>
      <c r="D54" s="4"/>
      <c r="E54" s="4"/>
      <c r="F54" s="14"/>
      <c r="G54" s="4"/>
      <c r="H54" s="4"/>
      <c r="I54" s="4"/>
      <c r="J54" s="14"/>
      <c r="K54" s="14"/>
      <c r="L54" s="14"/>
      <c r="M54" s="14"/>
      <c r="N54" s="14"/>
      <c r="O54" s="14"/>
      <c r="P54" s="14"/>
      <c r="Q54" s="14"/>
      <c r="R54" s="14"/>
      <c r="S54" s="60">
        <f t="shared" si="5"/>
        <v>619622</v>
      </c>
    </row>
    <row r="55" spans="1:19" ht="15">
      <c r="A55" s="102" t="s">
        <v>466</v>
      </c>
      <c r="B55" s="8" t="s">
        <v>467</v>
      </c>
      <c r="C55" s="14">
        <v>2613</v>
      </c>
      <c r="D55" s="4"/>
      <c r="E55" s="4"/>
      <c r="F55" s="14"/>
      <c r="G55" s="4"/>
      <c r="H55" s="4"/>
      <c r="I55" s="4"/>
      <c r="J55" s="14"/>
      <c r="K55" s="14"/>
      <c r="L55" s="14"/>
      <c r="M55" s="14"/>
      <c r="N55" s="14"/>
      <c r="O55" s="14"/>
      <c r="P55" s="14"/>
      <c r="Q55" s="14"/>
      <c r="R55" s="14"/>
      <c r="S55" s="60">
        <f t="shared" si="5"/>
        <v>2613</v>
      </c>
    </row>
    <row r="56" spans="1:19" ht="15.75">
      <c r="A56" s="102" t="s">
        <v>472</v>
      </c>
      <c r="B56" s="104" t="s">
        <v>473</v>
      </c>
      <c r="C56" s="14"/>
      <c r="D56" s="4"/>
      <c r="E56" s="4"/>
      <c r="F56" s="14"/>
      <c r="G56" s="4"/>
      <c r="H56" s="4"/>
      <c r="I56" s="4"/>
      <c r="J56" s="14">
        <v>137045</v>
      </c>
      <c r="K56" s="14"/>
      <c r="L56" s="14"/>
      <c r="M56" s="14"/>
      <c r="N56" s="14"/>
      <c r="O56" s="14"/>
      <c r="P56" s="14"/>
      <c r="Q56" s="14"/>
      <c r="R56" s="14"/>
      <c r="S56" s="60">
        <f t="shared" si="5"/>
        <v>137045</v>
      </c>
    </row>
    <row r="57" spans="1:19" ht="34.5" customHeight="1">
      <c r="A57" s="102" t="s">
        <v>501</v>
      </c>
      <c r="B57" s="100" t="s">
        <v>502</v>
      </c>
      <c r="C57" s="14">
        <f>345535-35856</f>
        <v>309679</v>
      </c>
      <c r="D57" s="4"/>
      <c r="E57" s="4"/>
      <c r="F57" s="14"/>
      <c r="G57" s="4"/>
      <c r="H57" s="4"/>
      <c r="I57" s="4"/>
      <c r="J57" s="14"/>
      <c r="K57" s="14"/>
      <c r="L57" s="14"/>
      <c r="M57" s="14"/>
      <c r="N57" s="14"/>
      <c r="O57" s="14"/>
      <c r="P57" s="14"/>
      <c r="Q57" s="14"/>
      <c r="R57" s="14"/>
      <c r="S57" s="60">
        <f t="shared" si="5"/>
        <v>309679</v>
      </c>
    </row>
    <row r="58" spans="1:19" ht="15">
      <c r="A58" s="102" t="s">
        <v>503</v>
      </c>
      <c r="B58" s="100" t="s">
        <v>504</v>
      </c>
      <c r="C58" s="14">
        <f>1343000-607041</f>
        <v>735959</v>
      </c>
      <c r="D58" s="4"/>
      <c r="E58" s="4"/>
      <c r="F58" s="14"/>
      <c r="G58" s="4"/>
      <c r="H58" s="4"/>
      <c r="I58" s="4"/>
      <c r="J58" s="14"/>
      <c r="K58" s="14"/>
      <c r="L58" s="14"/>
      <c r="M58" s="14"/>
      <c r="N58" s="14"/>
      <c r="O58" s="14"/>
      <c r="P58" s="14"/>
      <c r="Q58" s="14"/>
      <c r="R58" s="14"/>
      <c r="S58" s="60">
        <f t="shared" si="5"/>
        <v>735959</v>
      </c>
    </row>
    <row r="59" spans="1:19" ht="30">
      <c r="A59" s="102" t="s">
        <v>505</v>
      </c>
      <c r="B59" s="100" t="s">
        <v>506</v>
      </c>
      <c r="C59" s="14">
        <f>276409-66043</f>
        <v>210366</v>
      </c>
      <c r="D59" s="4"/>
      <c r="E59" s="4"/>
      <c r="F59" s="14"/>
      <c r="G59" s="4"/>
      <c r="H59" s="4"/>
      <c r="I59" s="4"/>
      <c r="J59" s="14"/>
      <c r="K59" s="14"/>
      <c r="L59" s="14"/>
      <c r="M59" s="14"/>
      <c r="N59" s="14"/>
      <c r="O59" s="14"/>
      <c r="P59" s="14"/>
      <c r="Q59" s="14"/>
      <c r="R59" s="14"/>
      <c r="S59" s="60">
        <f t="shared" si="5"/>
        <v>210366</v>
      </c>
    </row>
    <row r="60" spans="1:19" ht="30">
      <c r="A60" s="102" t="s">
        <v>507</v>
      </c>
      <c r="B60" s="100" t="s">
        <v>508</v>
      </c>
      <c r="C60" s="14">
        <f>471547-50622</f>
        <v>420925</v>
      </c>
      <c r="D60" s="4"/>
      <c r="E60" s="4"/>
      <c r="F60" s="14"/>
      <c r="G60" s="4"/>
      <c r="H60" s="4"/>
      <c r="I60" s="4"/>
      <c r="J60" s="14"/>
      <c r="K60" s="14"/>
      <c r="L60" s="14"/>
      <c r="M60" s="14"/>
      <c r="N60" s="14"/>
      <c r="O60" s="14"/>
      <c r="P60" s="14"/>
      <c r="Q60" s="14"/>
      <c r="R60" s="14"/>
      <c r="S60" s="60">
        <f t="shared" si="5"/>
        <v>420925</v>
      </c>
    </row>
    <row r="61" spans="1:19" ht="15">
      <c r="A61" s="102" t="s">
        <v>509</v>
      </c>
      <c r="B61" s="100" t="s">
        <v>510</v>
      </c>
      <c r="C61" s="14">
        <f>968200-810319</f>
        <v>157881</v>
      </c>
      <c r="D61" s="4"/>
      <c r="E61" s="4"/>
      <c r="F61" s="14"/>
      <c r="G61" s="4"/>
      <c r="H61" s="4"/>
      <c r="I61" s="4"/>
      <c r="J61" s="14"/>
      <c r="K61" s="14"/>
      <c r="L61" s="14"/>
      <c r="M61" s="14"/>
      <c r="N61" s="14"/>
      <c r="O61" s="14"/>
      <c r="P61" s="14"/>
      <c r="Q61" s="14"/>
      <c r="R61" s="14"/>
      <c r="S61" s="60">
        <f t="shared" si="5"/>
        <v>157881</v>
      </c>
    </row>
    <row r="62" spans="1:19" ht="15">
      <c r="A62" s="102" t="s">
        <v>511</v>
      </c>
      <c r="B62" s="100" t="s">
        <v>512</v>
      </c>
      <c r="C62" s="14">
        <f>159140-53198</f>
        <v>105942</v>
      </c>
      <c r="D62" s="4"/>
      <c r="E62" s="4"/>
      <c r="F62" s="14"/>
      <c r="G62" s="4"/>
      <c r="H62" s="4"/>
      <c r="I62" s="4"/>
      <c r="J62" s="14"/>
      <c r="K62" s="14"/>
      <c r="L62" s="14"/>
      <c r="M62" s="14"/>
      <c r="N62" s="14"/>
      <c r="O62" s="14"/>
      <c r="P62" s="14"/>
      <c r="Q62" s="14"/>
      <c r="R62" s="14"/>
      <c r="S62" s="60">
        <f t="shared" si="5"/>
        <v>105942</v>
      </c>
    </row>
    <row r="63" spans="1:19" ht="15">
      <c r="A63" s="102" t="s">
        <v>513</v>
      </c>
      <c r="B63" s="100" t="s">
        <v>514</v>
      </c>
      <c r="C63" s="14">
        <f>214800-73617</f>
        <v>141183</v>
      </c>
      <c r="D63" s="4"/>
      <c r="E63" s="4"/>
      <c r="F63" s="14"/>
      <c r="G63" s="4"/>
      <c r="H63" s="4"/>
      <c r="I63" s="4"/>
      <c r="J63" s="14"/>
      <c r="K63" s="14"/>
      <c r="L63" s="14"/>
      <c r="M63" s="14"/>
      <c r="N63" s="14"/>
      <c r="O63" s="14"/>
      <c r="P63" s="14"/>
      <c r="Q63" s="14"/>
      <c r="R63" s="14"/>
      <c r="S63" s="60">
        <f t="shared" si="5"/>
        <v>141183</v>
      </c>
    </row>
    <row r="64" spans="1:19" ht="15">
      <c r="A64" s="102" t="s">
        <v>515</v>
      </c>
      <c r="B64" s="100" t="s">
        <v>516</v>
      </c>
      <c r="C64" s="14">
        <f>221430-2954</f>
        <v>218476</v>
      </c>
      <c r="D64" s="4"/>
      <c r="E64" s="4"/>
      <c r="F64" s="14"/>
      <c r="G64" s="4"/>
      <c r="H64" s="4"/>
      <c r="I64" s="4"/>
      <c r="J64" s="14"/>
      <c r="K64" s="14"/>
      <c r="L64" s="14"/>
      <c r="M64" s="14"/>
      <c r="N64" s="14"/>
      <c r="O64" s="14"/>
      <c r="P64" s="14"/>
      <c r="Q64" s="14"/>
      <c r="R64" s="14"/>
      <c r="S64" s="60">
        <f t="shared" si="5"/>
        <v>218476</v>
      </c>
    </row>
    <row r="65" spans="1:19" ht="15">
      <c r="A65" s="102" t="s">
        <v>517</v>
      </c>
      <c r="B65" s="100" t="s">
        <v>518</v>
      </c>
      <c r="C65" s="14">
        <f>245800+141240</f>
        <v>387040</v>
      </c>
      <c r="D65" s="4"/>
      <c r="E65" s="4"/>
      <c r="F65" s="14"/>
      <c r="G65" s="4"/>
      <c r="H65" s="4"/>
      <c r="I65" s="4"/>
      <c r="J65" s="14"/>
      <c r="K65" s="14"/>
      <c r="L65" s="14"/>
      <c r="M65" s="14"/>
      <c r="N65" s="14"/>
      <c r="O65" s="14"/>
      <c r="P65" s="14"/>
      <c r="Q65" s="14"/>
      <c r="R65" s="14"/>
      <c r="S65" s="60">
        <f t="shared" si="5"/>
        <v>387040</v>
      </c>
    </row>
    <row r="66" spans="1:19" ht="30">
      <c r="A66" s="102" t="s">
        <v>519</v>
      </c>
      <c r="B66" s="100" t="s">
        <v>520</v>
      </c>
      <c r="C66" s="14">
        <f>146000+31727</f>
        <v>177727</v>
      </c>
      <c r="D66" s="4"/>
      <c r="E66" s="4"/>
      <c r="F66" s="14"/>
      <c r="G66" s="4"/>
      <c r="H66" s="4"/>
      <c r="I66" s="4"/>
      <c r="J66" s="14"/>
      <c r="K66" s="14"/>
      <c r="L66" s="14"/>
      <c r="M66" s="14"/>
      <c r="N66" s="14"/>
      <c r="O66" s="14"/>
      <c r="P66" s="14"/>
      <c r="Q66" s="14"/>
      <c r="R66" s="14"/>
      <c r="S66" s="60">
        <f t="shared" si="5"/>
        <v>177727</v>
      </c>
    </row>
    <row r="67" spans="1:19" ht="15">
      <c r="A67" s="102" t="s">
        <v>521</v>
      </c>
      <c r="B67" s="100" t="s">
        <v>522</v>
      </c>
      <c r="C67" s="14">
        <v>120000</v>
      </c>
      <c r="D67" s="4"/>
      <c r="E67" s="4"/>
      <c r="F67" s="14"/>
      <c r="G67" s="4"/>
      <c r="H67" s="4"/>
      <c r="I67" s="4"/>
      <c r="J67" s="14"/>
      <c r="K67" s="14"/>
      <c r="L67" s="14"/>
      <c r="M67" s="14"/>
      <c r="N67" s="14"/>
      <c r="O67" s="14"/>
      <c r="P67" s="14"/>
      <c r="Q67" s="14"/>
      <c r="R67" s="14"/>
      <c r="S67" s="60">
        <f t="shared" si="5"/>
        <v>120000</v>
      </c>
    </row>
    <row r="68" spans="1:19" ht="15">
      <c r="A68" s="102" t="s">
        <v>523</v>
      </c>
      <c r="B68" s="100" t="s">
        <v>524</v>
      </c>
      <c r="C68" s="14">
        <f>134000+7393</f>
        <v>141393</v>
      </c>
      <c r="D68" s="4"/>
      <c r="E68" s="4"/>
      <c r="F68" s="14"/>
      <c r="G68" s="4"/>
      <c r="H68" s="4"/>
      <c r="I68" s="4"/>
      <c r="J68" s="14"/>
      <c r="K68" s="14"/>
      <c r="L68" s="14"/>
      <c r="M68" s="14"/>
      <c r="N68" s="14"/>
      <c r="O68" s="14"/>
      <c r="P68" s="14"/>
      <c r="Q68" s="14"/>
      <c r="R68" s="14"/>
      <c r="S68" s="60">
        <f t="shared" si="5"/>
        <v>141393</v>
      </c>
    </row>
    <row r="69" spans="1:19" ht="30" customHeight="1">
      <c r="A69" s="102" t="s">
        <v>540</v>
      </c>
      <c r="B69" s="100" t="s">
        <v>544</v>
      </c>
      <c r="C69" s="14">
        <v>274036</v>
      </c>
      <c r="D69" s="4"/>
      <c r="E69" s="4"/>
      <c r="F69" s="14"/>
      <c r="G69" s="4"/>
      <c r="H69" s="4"/>
      <c r="I69" s="4"/>
      <c r="J69" s="14"/>
      <c r="K69" s="14"/>
      <c r="L69" s="14"/>
      <c r="M69" s="14"/>
      <c r="N69" s="14"/>
      <c r="O69" s="14"/>
      <c r="P69" s="14"/>
      <c r="Q69" s="14"/>
      <c r="R69" s="14"/>
      <c r="S69" s="60">
        <f t="shared" si="5"/>
        <v>274036</v>
      </c>
    </row>
    <row r="70" spans="1:19" ht="30" customHeight="1">
      <c r="A70" s="102" t="s">
        <v>70</v>
      </c>
      <c r="B70" s="105" t="s">
        <v>577</v>
      </c>
      <c r="C70" s="14"/>
      <c r="D70" s="4"/>
      <c r="E70" s="4"/>
      <c r="F70" s="14"/>
      <c r="G70" s="4"/>
      <c r="H70" s="4"/>
      <c r="I70" s="4"/>
      <c r="J70" s="14"/>
      <c r="K70" s="14"/>
      <c r="L70" s="14"/>
      <c r="M70" s="14"/>
      <c r="N70" s="14"/>
      <c r="O70" s="14"/>
      <c r="P70" s="14">
        <v>223315</v>
      </c>
      <c r="Q70" s="14"/>
      <c r="R70" s="14"/>
      <c r="S70" s="60">
        <f t="shared" si="5"/>
        <v>223315</v>
      </c>
    </row>
    <row r="71" spans="1:19" ht="30" customHeight="1">
      <c r="A71" s="102" t="s">
        <v>70</v>
      </c>
      <c r="B71" s="100" t="s">
        <v>578</v>
      </c>
      <c r="C71" s="14"/>
      <c r="D71" s="4"/>
      <c r="E71" s="4"/>
      <c r="F71" s="14"/>
      <c r="G71" s="4"/>
      <c r="H71" s="4"/>
      <c r="I71" s="4"/>
      <c r="J71" s="14"/>
      <c r="K71" s="14"/>
      <c r="L71" s="14"/>
      <c r="M71" s="14"/>
      <c r="N71" s="14"/>
      <c r="O71" s="14"/>
      <c r="P71" s="14">
        <v>729099</v>
      </c>
      <c r="Q71" s="14"/>
      <c r="R71" s="14"/>
      <c r="S71" s="60">
        <f t="shared" si="5"/>
        <v>729099</v>
      </c>
    </row>
    <row r="72" spans="1:19" ht="30" customHeight="1">
      <c r="A72" s="102" t="s">
        <v>70</v>
      </c>
      <c r="B72" s="100" t="s">
        <v>579</v>
      </c>
      <c r="C72" s="14"/>
      <c r="D72" s="4"/>
      <c r="E72" s="4"/>
      <c r="F72" s="14"/>
      <c r="G72" s="4"/>
      <c r="H72" s="4"/>
      <c r="I72" s="4"/>
      <c r="J72" s="14"/>
      <c r="K72" s="14"/>
      <c r="L72" s="14"/>
      <c r="M72" s="14"/>
      <c r="N72" s="14"/>
      <c r="O72" s="14"/>
      <c r="P72" s="14">
        <v>965651</v>
      </c>
      <c r="Q72" s="14"/>
      <c r="R72" s="14"/>
      <c r="S72" s="60">
        <f t="shared" si="5"/>
        <v>965651</v>
      </c>
    </row>
    <row r="73" spans="1:19" ht="30" customHeight="1">
      <c r="A73" s="102" t="s">
        <v>70</v>
      </c>
      <c r="B73" s="100" t="s">
        <v>580</v>
      </c>
      <c r="C73" s="14"/>
      <c r="D73" s="4"/>
      <c r="E73" s="4"/>
      <c r="F73" s="14"/>
      <c r="G73" s="4"/>
      <c r="H73" s="4"/>
      <c r="I73" s="4"/>
      <c r="J73" s="14"/>
      <c r="K73" s="14"/>
      <c r="L73" s="14"/>
      <c r="M73" s="14"/>
      <c r="N73" s="14"/>
      <c r="O73" s="14"/>
      <c r="P73" s="14">
        <v>876691</v>
      </c>
      <c r="Q73" s="14"/>
      <c r="R73" s="14"/>
      <c r="S73" s="60">
        <f t="shared" si="5"/>
        <v>876691</v>
      </c>
    </row>
    <row r="74" spans="1:19" ht="15">
      <c r="A74" s="61" t="s">
        <v>73</v>
      </c>
      <c r="B74" s="106" t="s">
        <v>74</v>
      </c>
      <c r="C74" s="20">
        <f>SUM(C75:C75)</f>
        <v>0</v>
      </c>
      <c r="D74" s="4"/>
      <c r="E74" s="4"/>
      <c r="F74" s="14"/>
      <c r="G74" s="21">
        <f aca="true" t="shared" si="11" ref="G74:R74">SUM(G75:G75)</f>
        <v>0</v>
      </c>
      <c r="H74" s="21">
        <f t="shared" si="11"/>
        <v>0</v>
      </c>
      <c r="I74" s="21">
        <f>SUM(I75:I75)</f>
        <v>0</v>
      </c>
      <c r="J74" s="20">
        <f t="shared" si="11"/>
        <v>0</v>
      </c>
      <c r="K74" s="20">
        <f t="shared" si="11"/>
        <v>0</v>
      </c>
      <c r="L74" s="20">
        <f t="shared" si="11"/>
        <v>0</v>
      </c>
      <c r="M74" s="20">
        <f t="shared" si="11"/>
        <v>0</v>
      </c>
      <c r="N74" s="20">
        <f t="shared" si="11"/>
        <v>0</v>
      </c>
      <c r="O74" s="20">
        <f t="shared" si="11"/>
        <v>0</v>
      </c>
      <c r="P74" s="20">
        <f t="shared" si="11"/>
        <v>0</v>
      </c>
      <c r="Q74" s="20">
        <f t="shared" si="11"/>
        <v>0</v>
      </c>
      <c r="R74" s="20">
        <f t="shared" si="11"/>
        <v>0</v>
      </c>
      <c r="S74" s="60">
        <f t="shared" si="5"/>
        <v>0</v>
      </c>
    </row>
    <row r="75" spans="1:19" ht="15">
      <c r="A75" s="63" t="s">
        <v>201</v>
      </c>
      <c r="B75" s="24" t="s">
        <v>267</v>
      </c>
      <c r="C75" s="14"/>
      <c r="D75" s="4"/>
      <c r="E75" s="4"/>
      <c r="F75" s="14"/>
      <c r="G75" s="4"/>
      <c r="H75" s="4"/>
      <c r="I75" s="4"/>
      <c r="J75" s="4"/>
      <c r="K75" s="4"/>
      <c r="L75" s="4"/>
      <c r="M75" s="4"/>
      <c r="N75" s="14"/>
      <c r="O75" s="14"/>
      <c r="P75" s="14"/>
      <c r="Q75" s="14"/>
      <c r="R75" s="14"/>
      <c r="S75" s="60">
        <f t="shared" si="5"/>
        <v>0</v>
      </c>
    </row>
    <row r="76" spans="1:19" ht="15">
      <c r="A76" s="107" t="s">
        <v>352</v>
      </c>
      <c r="B76" s="108" t="s">
        <v>347</v>
      </c>
      <c r="C76" s="14">
        <f>108980+971+600+18383</f>
        <v>128934</v>
      </c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>
        <v>21153</v>
      </c>
      <c r="Q76" s="14">
        <v>30454</v>
      </c>
      <c r="R76" s="14"/>
      <c r="S76" s="60">
        <f t="shared" si="5"/>
        <v>180541</v>
      </c>
    </row>
    <row r="77" spans="1:19" ht="30">
      <c r="A77" s="102" t="s">
        <v>657</v>
      </c>
      <c r="B77" s="109" t="s">
        <v>630</v>
      </c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67">
        <f>374838-50000</f>
        <v>324838</v>
      </c>
      <c r="S77" s="60">
        <f t="shared" si="5"/>
        <v>324838</v>
      </c>
    </row>
    <row r="78" spans="1:19" ht="15">
      <c r="A78" s="102" t="s">
        <v>657</v>
      </c>
      <c r="B78" s="110" t="s">
        <v>631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>
        <v>33287</v>
      </c>
      <c r="R78" s="67"/>
      <c r="S78" s="60">
        <f>SUM(C78:R78)</f>
        <v>33287</v>
      </c>
    </row>
    <row r="79" spans="1:19" ht="30">
      <c r="A79" s="102" t="s">
        <v>657</v>
      </c>
      <c r="B79" s="110" t="s">
        <v>632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>
        <v>21639</v>
      </c>
      <c r="R79" s="67"/>
      <c r="S79" s="60">
        <f>SUM(C79:R79)</f>
        <v>21639</v>
      </c>
    </row>
    <row r="80" spans="1:19" ht="60.75" thickBot="1">
      <c r="A80" s="111" t="s">
        <v>657</v>
      </c>
      <c r="B80" s="100" t="s">
        <v>581</v>
      </c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>
        <v>4177</v>
      </c>
      <c r="Q80" s="17"/>
      <c r="R80" s="112"/>
      <c r="S80" s="113">
        <f>SUM(C80:R80)</f>
        <v>4177</v>
      </c>
    </row>
    <row r="81" spans="1:19" ht="15.75" thickBot="1">
      <c r="A81" s="77" t="s">
        <v>16</v>
      </c>
      <c r="B81" s="114" t="s">
        <v>75</v>
      </c>
      <c r="C81" s="48">
        <f aca="true" t="shared" si="12" ref="C81:R81">C82+C85+C88+C94</f>
        <v>6007487</v>
      </c>
      <c r="D81" s="48">
        <f t="shared" si="12"/>
        <v>448487</v>
      </c>
      <c r="E81" s="48">
        <f t="shared" si="12"/>
        <v>0</v>
      </c>
      <c r="F81" s="48">
        <f t="shared" si="12"/>
        <v>92651</v>
      </c>
      <c r="G81" s="48">
        <f t="shared" si="12"/>
        <v>10600</v>
      </c>
      <c r="H81" s="48">
        <f t="shared" si="12"/>
        <v>36948</v>
      </c>
      <c r="I81" s="48">
        <f t="shared" si="12"/>
        <v>39450</v>
      </c>
      <c r="J81" s="48">
        <f t="shared" si="12"/>
        <v>133771</v>
      </c>
      <c r="K81" s="48">
        <f t="shared" si="12"/>
        <v>28120</v>
      </c>
      <c r="L81" s="48">
        <f t="shared" si="12"/>
        <v>12654</v>
      </c>
      <c r="M81" s="48">
        <f t="shared" si="12"/>
        <v>0</v>
      </c>
      <c r="N81" s="48">
        <f t="shared" si="12"/>
        <v>24254</v>
      </c>
      <c r="O81" s="48">
        <f t="shared" si="12"/>
        <v>46800</v>
      </c>
      <c r="P81" s="48">
        <f t="shared" si="12"/>
        <v>18592</v>
      </c>
      <c r="Q81" s="48">
        <f t="shared" si="12"/>
        <v>30359</v>
      </c>
      <c r="R81" s="48">
        <f t="shared" si="12"/>
        <v>0</v>
      </c>
      <c r="S81" s="49">
        <f aca="true" t="shared" si="13" ref="S81:S144">SUM(C81:R81)</f>
        <v>6930173</v>
      </c>
    </row>
    <row r="82" spans="1:19" ht="15">
      <c r="A82" s="50" t="s">
        <v>76</v>
      </c>
      <c r="B82" s="106" t="s">
        <v>77</v>
      </c>
      <c r="C82" s="18">
        <f>SUM(C83:C84)</f>
        <v>27173</v>
      </c>
      <c r="D82" s="18">
        <f aca="true" t="shared" si="14" ref="D82:R82">SUM(D83:D84)</f>
        <v>86836</v>
      </c>
      <c r="E82" s="18">
        <f t="shared" si="14"/>
        <v>0</v>
      </c>
      <c r="F82" s="18">
        <f t="shared" si="14"/>
        <v>44969</v>
      </c>
      <c r="G82" s="18">
        <f t="shared" si="14"/>
        <v>1600</v>
      </c>
      <c r="H82" s="18">
        <f t="shared" si="14"/>
        <v>16105</v>
      </c>
      <c r="I82" s="18">
        <f t="shared" si="14"/>
        <v>29735</v>
      </c>
      <c r="J82" s="18">
        <f t="shared" si="14"/>
        <v>42957</v>
      </c>
      <c r="K82" s="18">
        <f t="shared" si="14"/>
        <v>20306</v>
      </c>
      <c r="L82" s="18">
        <f t="shared" si="14"/>
        <v>6500</v>
      </c>
      <c r="M82" s="18">
        <f t="shared" si="14"/>
        <v>0</v>
      </c>
      <c r="N82" s="18">
        <f>SUM(N83:N84)</f>
        <v>12000</v>
      </c>
      <c r="O82" s="18">
        <f>SUM(O83:O84)</f>
        <v>46800</v>
      </c>
      <c r="P82" s="18">
        <f>SUM(P83:P84)</f>
        <v>0</v>
      </c>
      <c r="Q82" s="18">
        <f t="shared" si="14"/>
        <v>0</v>
      </c>
      <c r="R82" s="18">
        <f t="shared" si="14"/>
        <v>0</v>
      </c>
      <c r="S82" s="22">
        <f t="shared" si="13"/>
        <v>334981</v>
      </c>
    </row>
    <row r="83" spans="1:19" ht="30">
      <c r="A83" s="63" t="s">
        <v>202</v>
      </c>
      <c r="B83" s="24" t="s">
        <v>366</v>
      </c>
      <c r="C83" s="14">
        <v>7813</v>
      </c>
      <c r="D83" s="4">
        <v>86836</v>
      </c>
      <c r="E83" s="4"/>
      <c r="F83" s="4">
        <f>36669+8300</f>
        <v>44969</v>
      </c>
      <c r="G83" s="14">
        <v>1600</v>
      </c>
      <c r="H83" s="4">
        <v>16105</v>
      </c>
      <c r="I83" s="4">
        <v>29735</v>
      </c>
      <c r="J83" s="4">
        <f>35867+7090</f>
        <v>42957</v>
      </c>
      <c r="K83" s="4">
        <v>20306</v>
      </c>
      <c r="L83" s="4">
        <v>6500</v>
      </c>
      <c r="M83" s="4"/>
      <c r="N83" s="69">
        <v>12000</v>
      </c>
      <c r="O83" s="4">
        <v>46800</v>
      </c>
      <c r="P83" s="4"/>
      <c r="Q83" s="69"/>
      <c r="R83" s="14"/>
      <c r="S83" s="60">
        <f t="shared" si="13"/>
        <v>315621</v>
      </c>
    </row>
    <row r="84" spans="1:19" ht="15">
      <c r="A84" s="63" t="s">
        <v>281</v>
      </c>
      <c r="B84" s="83" t="s">
        <v>404</v>
      </c>
      <c r="C84" s="14">
        <v>19360</v>
      </c>
      <c r="D84" s="14"/>
      <c r="E84" s="14"/>
      <c r="F84" s="4"/>
      <c r="G84" s="9"/>
      <c r="H84" s="4"/>
      <c r="I84" s="4"/>
      <c r="J84" s="14"/>
      <c r="K84" s="4"/>
      <c r="L84" s="14"/>
      <c r="M84" s="4"/>
      <c r="N84" s="69"/>
      <c r="O84" s="4"/>
      <c r="P84" s="4"/>
      <c r="Q84" s="69"/>
      <c r="R84" s="14"/>
      <c r="S84" s="60">
        <f t="shared" si="13"/>
        <v>19360</v>
      </c>
    </row>
    <row r="85" spans="1:19" ht="15">
      <c r="A85" s="61" t="s">
        <v>2</v>
      </c>
      <c r="B85" s="64" t="s">
        <v>78</v>
      </c>
      <c r="C85" s="20">
        <f>SUM(C86:C87)</f>
        <v>96248</v>
      </c>
      <c r="D85" s="20">
        <f>SUM(D86:D87)</f>
        <v>361651</v>
      </c>
      <c r="E85" s="20">
        <f>SUM(E86:E87)</f>
        <v>0</v>
      </c>
      <c r="F85" s="21">
        <f>SUM(F86:F87)</f>
        <v>47682</v>
      </c>
      <c r="G85" s="115">
        <f aca="true" t="shared" si="15" ref="G85:R85">SUM(G86:G87)</f>
        <v>0</v>
      </c>
      <c r="H85" s="21">
        <f t="shared" si="15"/>
        <v>20843</v>
      </c>
      <c r="I85" s="21">
        <f t="shared" si="15"/>
        <v>9715</v>
      </c>
      <c r="J85" s="20">
        <f t="shared" si="15"/>
        <v>90814</v>
      </c>
      <c r="K85" s="20">
        <f t="shared" si="15"/>
        <v>7814</v>
      </c>
      <c r="L85" s="20">
        <f t="shared" si="15"/>
        <v>5463</v>
      </c>
      <c r="M85" s="21">
        <f t="shared" si="15"/>
        <v>0</v>
      </c>
      <c r="N85" s="21">
        <f>SUM(N86:N87)</f>
        <v>12254</v>
      </c>
      <c r="O85" s="115">
        <f>SUM(O86:O87)</f>
        <v>0</v>
      </c>
      <c r="P85" s="115">
        <f>SUM(P86:P87)</f>
        <v>0</v>
      </c>
      <c r="Q85" s="116">
        <f t="shared" si="15"/>
        <v>0</v>
      </c>
      <c r="R85" s="116">
        <f t="shared" si="15"/>
        <v>0</v>
      </c>
      <c r="S85" s="60">
        <f t="shared" si="13"/>
        <v>652484</v>
      </c>
    </row>
    <row r="86" spans="1:19" ht="15">
      <c r="A86" s="63" t="s">
        <v>203</v>
      </c>
      <c r="B86" s="91" t="s">
        <v>405</v>
      </c>
      <c r="C86" s="14">
        <v>96248</v>
      </c>
      <c r="D86" s="4">
        <v>28808</v>
      </c>
      <c r="E86" s="4"/>
      <c r="F86" s="4"/>
      <c r="G86" s="9"/>
      <c r="H86" s="4"/>
      <c r="I86" s="4"/>
      <c r="J86" s="4"/>
      <c r="K86" s="4"/>
      <c r="L86" s="4"/>
      <c r="M86" s="4"/>
      <c r="N86" s="69"/>
      <c r="O86" s="4"/>
      <c r="P86" s="4"/>
      <c r="Q86" s="69"/>
      <c r="R86" s="14"/>
      <c r="S86" s="60">
        <f t="shared" si="13"/>
        <v>125056</v>
      </c>
    </row>
    <row r="87" spans="1:19" ht="15">
      <c r="A87" s="117" t="s">
        <v>204</v>
      </c>
      <c r="B87" s="91" t="s">
        <v>406</v>
      </c>
      <c r="C87" s="14"/>
      <c r="D87" s="118">
        <v>332843</v>
      </c>
      <c r="E87" s="4"/>
      <c r="F87" s="14">
        <v>47682</v>
      </c>
      <c r="G87" s="4"/>
      <c r="H87" s="4">
        <v>20843</v>
      </c>
      <c r="I87" s="4">
        <v>9715</v>
      </c>
      <c r="J87" s="4">
        <v>90814</v>
      </c>
      <c r="K87" s="4">
        <v>7814</v>
      </c>
      <c r="L87" s="4">
        <v>5463</v>
      </c>
      <c r="M87" s="4"/>
      <c r="N87" s="69">
        <v>12254</v>
      </c>
      <c r="O87" s="4"/>
      <c r="P87" s="4"/>
      <c r="Q87" s="69"/>
      <c r="R87" s="14"/>
      <c r="S87" s="60">
        <f t="shared" si="13"/>
        <v>527428</v>
      </c>
    </row>
    <row r="88" spans="1:19" s="76" customFormat="1" ht="28.5">
      <c r="A88" s="61" t="s">
        <v>205</v>
      </c>
      <c r="B88" s="106" t="s">
        <v>206</v>
      </c>
      <c r="C88" s="18">
        <f>SUM(C89:C92)</f>
        <v>5841629</v>
      </c>
      <c r="D88" s="18">
        <f aca="true" t="shared" si="16" ref="D88:M88">SUM(D89:D92)</f>
        <v>0</v>
      </c>
      <c r="E88" s="18">
        <f t="shared" si="16"/>
        <v>0</v>
      </c>
      <c r="F88" s="18">
        <f t="shared" si="16"/>
        <v>0</v>
      </c>
      <c r="G88" s="18">
        <f t="shared" si="16"/>
        <v>0</v>
      </c>
      <c r="H88" s="18">
        <f t="shared" si="16"/>
        <v>0</v>
      </c>
      <c r="I88" s="18">
        <f t="shared" si="16"/>
        <v>0</v>
      </c>
      <c r="J88" s="18">
        <f t="shared" si="16"/>
        <v>0</v>
      </c>
      <c r="K88" s="18">
        <f t="shared" si="16"/>
        <v>0</v>
      </c>
      <c r="L88" s="18">
        <f t="shared" si="16"/>
        <v>691</v>
      </c>
      <c r="M88" s="18">
        <f t="shared" si="16"/>
        <v>0</v>
      </c>
      <c r="N88" s="18">
        <f>SUM(N89:N92)</f>
        <v>0</v>
      </c>
      <c r="O88" s="18">
        <f>SUM(O89:O93)</f>
        <v>0</v>
      </c>
      <c r="P88" s="18">
        <f>SUM(P89:P93)</f>
        <v>18592</v>
      </c>
      <c r="Q88" s="18">
        <f>SUM(Q89:Q93)</f>
        <v>30359</v>
      </c>
      <c r="R88" s="18">
        <f>SUM(R89:R93)</f>
        <v>0</v>
      </c>
      <c r="S88" s="60">
        <f t="shared" si="13"/>
        <v>5891271</v>
      </c>
    </row>
    <row r="89" spans="1:19" s="76" customFormat="1" ht="15">
      <c r="A89" s="63" t="s">
        <v>306</v>
      </c>
      <c r="B89" s="119" t="s">
        <v>356</v>
      </c>
      <c r="C89" s="16">
        <f>64753+7183</f>
        <v>71936</v>
      </c>
      <c r="D89" s="18"/>
      <c r="E89" s="18"/>
      <c r="F89" s="18"/>
      <c r="G89" s="58"/>
      <c r="H89" s="18"/>
      <c r="I89" s="18"/>
      <c r="J89" s="18"/>
      <c r="K89" s="18"/>
      <c r="L89" s="18">
        <v>691</v>
      </c>
      <c r="M89" s="18"/>
      <c r="N89" s="18"/>
      <c r="O89" s="18"/>
      <c r="P89" s="18"/>
      <c r="Q89" s="18"/>
      <c r="R89" s="20"/>
      <c r="S89" s="60">
        <f t="shared" si="13"/>
        <v>72627</v>
      </c>
    </row>
    <row r="90" spans="1:19" s="76" customFormat="1" ht="31.5">
      <c r="A90" s="102" t="s">
        <v>367</v>
      </c>
      <c r="B90" s="7" t="s">
        <v>368</v>
      </c>
      <c r="C90" s="16">
        <f>4355129+48399</f>
        <v>4403528</v>
      </c>
      <c r="D90" s="18"/>
      <c r="E90" s="18"/>
      <c r="F90" s="18"/>
      <c r="G90" s="5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20"/>
      <c r="S90" s="60">
        <f t="shared" si="13"/>
        <v>4403528</v>
      </c>
    </row>
    <row r="91" spans="1:19" s="76" customFormat="1" ht="60">
      <c r="A91" s="102" t="s">
        <v>525</v>
      </c>
      <c r="B91" s="100" t="s">
        <v>526</v>
      </c>
      <c r="C91" s="16">
        <f>848717+6920</f>
        <v>855637</v>
      </c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20"/>
      <c r="S91" s="60">
        <f t="shared" si="13"/>
        <v>855637</v>
      </c>
    </row>
    <row r="92" spans="1:19" s="76" customFormat="1" ht="45">
      <c r="A92" s="102" t="s">
        <v>527</v>
      </c>
      <c r="B92" s="119" t="s">
        <v>528</v>
      </c>
      <c r="C92" s="16">
        <v>510528</v>
      </c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20"/>
      <c r="S92" s="60">
        <f t="shared" si="13"/>
        <v>510528</v>
      </c>
    </row>
    <row r="93" spans="1:19" s="76" customFormat="1" ht="30">
      <c r="A93" s="93" t="s">
        <v>205</v>
      </c>
      <c r="B93" s="119" t="s">
        <v>206</v>
      </c>
      <c r="C93" s="16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6">
        <v>18592</v>
      </c>
      <c r="Q93" s="16">
        <v>30359</v>
      </c>
      <c r="R93" s="20"/>
      <c r="S93" s="60">
        <f t="shared" si="13"/>
        <v>48951</v>
      </c>
    </row>
    <row r="94" spans="1:19" ht="29.25">
      <c r="A94" s="50" t="s">
        <v>207</v>
      </c>
      <c r="B94" s="106" t="s">
        <v>208</v>
      </c>
      <c r="C94" s="18">
        <f>C95</f>
        <v>42437</v>
      </c>
      <c r="D94" s="18">
        <f aca="true" t="shared" si="17" ref="D94:R94">D95</f>
        <v>0</v>
      </c>
      <c r="E94" s="18">
        <f t="shared" si="17"/>
        <v>0</v>
      </c>
      <c r="F94" s="18">
        <f t="shared" si="17"/>
        <v>0</v>
      </c>
      <c r="G94" s="18">
        <f t="shared" si="17"/>
        <v>9000</v>
      </c>
      <c r="H94" s="18">
        <f t="shared" si="17"/>
        <v>0</v>
      </c>
      <c r="I94" s="18">
        <f t="shared" si="17"/>
        <v>0</v>
      </c>
      <c r="J94" s="18">
        <f t="shared" si="17"/>
        <v>0</v>
      </c>
      <c r="K94" s="18">
        <f t="shared" si="17"/>
        <v>0</v>
      </c>
      <c r="L94" s="18">
        <f t="shared" si="17"/>
        <v>0</v>
      </c>
      <c r="M94" s="18">
        <f t="shared" si="17"/>
        <v>0</v>
      </c>
      <c r="N94" s="18">
        <f t="shared" si="17"/>
        <v>0</v>
      </c>
      <c r="O94" s="18">
        <f t="shared" si="17"/>
        <v>0</v>
      </c>
      <c r="P94" s="18">
        <f t="shared" si="17"/>
        <v>0</v>
      </c>
      <c r="Q94" s="18">
        <f t="shared" si="17"/>
        <v>0</v>
      </c>
      <c r="R94" s="18">
        <f t="shared" si="17"/>
        <v>0</v>
      </c>
      <c r="S94" s="60">
        <f t="shared" si="13"/>
        <v>51437</v>
      </c>
    </row>
    <row r="95" spans="1:19" s="76" customFormat="1" ht="30" customHeight="1" thickBot="1">
      <c r="A95" s="120" t="s">
        <v>307</v>
      </c>
      <c r="B95" s="101" t="s">
        <v>407</v>
      </c>
      <c r="C95" s="16">
        <f>34752+7685</f>
        <v>42437</v>
      </c>
      <c r="D95" s="18"/>
      <c r="E95" s="18"/>
      <c r="F95" s="18"/>
      <c r="G95" s="52">
        <v>9000</v>
      </c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21"/>
      <c r="S95" s="113">
        <f t="shared" si="13"/>
        <v>51437</v>
      </c>
    </row>
    <row r="96" spans="1:19" ht="30" thickBot="1">
      <c r="A96" s="77" t="s">
        <v>3</v>
      </c>
      <c r="B96" s="114" t="s">
        <v>79</v>
      </c>
      <c r="C96" s="48">
        <f>SUM(C97:C104)</f>
        <v>3624697</v>
      </c>
      <c r="D96" s="48">
        <f aca="true" t="shared" si="18" ref="D96:M96">SUM(D97:D104)</f>
        <v>2341530</v>
      </c>
      <c r="E96" s="48">
        <f t="shared" si="18"/>
        <v>0</v>
      </c>
      <c r="F96" s="48">
        <f t="shared" si="18"/>
        <v>303491</v>
      </c>
      <c r="G96" s="48">
        <f t="shared" si="18"/>
        <v>94920</v>
      </c>
      <c r="H96" s="48">
        <f t="shared" si="18"/>
        <v>177075</v>
      </c>
      <c r="I96" s="48">
        <f t="shared" si="18"/>
        <v>190350</v>
      </c>
      <c r="J96" s="48">
        <f t="shared" si="18"/>
        <v>344401</v>
      </c>
      <c r="K96" s="48">
        <f t="shared" si="18"/>
        <v>118208</v>
      </c>
      <c r="L96" s="48">
        <f t="shared" si="18"/>
        <v>105535</v>
      </c>
      <c r="M96" s="48">
        <f t="shared" si="18"/>
        <v>118263</v>
      </c>
      <c r="N96" s="48">
        <f>SUM(N97:N104)</f>
        <v>108798</v>
      </c>
      <c r="O96" s="48">
        <f>SUM(O97:O104)</f>
        <v>1769004</v>
      </c>
      <c r="P96" s="48">
        <f>SUM(P97:P104)</f>
        <v>2291408</v>
      </c>
      <c r="Q96" s="48">
        <f>SUM(Q97:Q104)</f>
        <v>2021643</v>
      </c>
      <c r="R96" s="48">
        <f>SUM(R97:R104)</f>
        <v>0</v>
      </c>
      <c r="S96" s="49">
        <f t="shared" si="13"/>
        <v>13609323</v>
      </c>
    </row>
    <row r="97" spans="1:19" ht="15">
      <c r="A97" s="50" t="s">
        <v>261</v>
      </c>
      <c r="B97" s="106" t="s">
        <v>308</v>
      </c>
      <c r="C97" s="18"/>
      <c r="D97" s="58"/>
      <c r="E97" s="52"/>
      <c r="F97" s="16"/>
      <c r="G97" s="52"/>
      <c r="H97" s="27"/>
      <c r="I97" s="52"/>
      <c r="J97" s="52"/>
      <c r="K97" s="52"/>
      <c r="L97" s="52"/>
      <c r="M97" s="52"/>
      <c r="N97" s="16"/>
      <c r="O97" s="16"/>
      <c r="P97" s="16"/>
      <c r="Q97" s="16"/>
      <c r="R97" s="16"/>
      <c r="S97" s="22">
        <f t="shared" si="13"/>
        <v>0</v>
      </c>
    </row>
    <row r="98" spans="1:19" ht="15">
      <c r="A98" s="90" t="s">
        <v>282</v>
      </c>
      <c r="B98" s="101" t="s">
        <v>141</v>
      </c>
      <c r="C98" s="18"/>
      <c r="D98" s="58"/>
      <c r="E98" s="52"/>
      <c r="F98" s="16"/>
      <c r="G98" s="52"/>
      <c r="H98" s="4"/>
      <c r="I98" s="52"/>
      <c r="J98" s="52"/>
      <c r="K98" s="52"/>
      <c r="L98" s="52"/>
      <c r="M98" s="52"/>
      <c r="N98" s="16"/>
      <c r="O98" s="16"/>
      <c r="P98" s="16"/>
      <c r="Q98" s="16"/>
      <c r="R98" s="14"/>
      <c r="S98" s="60">
        <f t="shared" si="13"/>
        <v>0</v>
      </c>
    </row>
    <row r="99" spans="1:19" ht="15">
      <c r="A99" s="61" t="s">
        <v>309</v>
      </c>
      <c r="B99" s="64" t="s">
        <v>209</v>
      </c>
      <c r="C99" s="14">
        <v>76020</v>
      </c>
      <c r="D99" s="21"/>
      <c r="E99" s="4"/>
      <c r="F99" s="14"/>
      <c r="G99" s="4"/>
      <c r="H99" s="4"/>
      <c r="I99" s="4"/>
      <c r="J99" s="4"/>
      <c r="K99" s="4"/>
      <c r="L99" s="4"/>
      <c r="M99" s="4"/>
      <c r="N99" s="14"/>
      <c r="O99" s="14"/>
      <c r="P99" s="14">
        <v>146126</v>
      </c>
      <c r="Q99" s="14">
        <v>95545</v>
      </c>
      <c r="R99" s="14"/>
      <c r="S99" s="60">
        <f t="shared" si="13"/>
        <v>317691</v>
      </c>
    </row>
    <row r="100" spans="1:19" ht="15">
      <c r="A100" s="61" t="s">
        <v>80</v>
      </c>
      <c r="B100" s="64" t="s">
        <v>81</v>
      </c>
      <c r="C100" s="14"/>
      <c r="D100" s="4">
        <v>249745</v>
      </c>
      <c r="E100" s="4"/>
      <c r="F100" s="4">
        <v>25138</v>
      </c>
      <c r="G100" s="9"/>
      <c r="H100" s="4"/>
      <c r="I100" s="4"/>
      <c r="J100" s="4"/>
      <c r="K100" s="4"/>
      <c r="L100" s="4"/>
      <c r="M100" s="4"/>
      <c r="N100" s="14"/>
      <c r="O100" s="14"/>
      <c r="P100" s="14"/>
      <c r="Q100" s="14"/>
      <c r="R100" s="14"/>
      <c r="S100" s="60">
        <f t="shared" si="13"/>
        <v>274883</v>
      </c>
    </row>
    <row r="101" spans="1:19" ht="15">
      <c r="A101" s="61" t="s">
        <v>369</v>
      </c>
      <c r="B101" s="91" t="s">
        <v>370</v>
      </c>
      <c r="C101" s="14"/>
      <c r="D101" s="21"/>
      <c r="E101" s="4"/>
      <c r="F101" s="4"/>
      <c r="G101" s="9"/>
      <c r="H101" s="4">
        <v>24203</v>
      </c>
      <c r="I101" s="4">
        <v>14207</v>
      </c>
      <c r="J101" s="4">
        <v>40977</v>
      </c>
      <c r="K101" s="4">
        <f>10429</f>
        <v>10429</v>
      </c>
      <c r="L101" s="4">
        <v>4670</v>
      </c>
      <c r="M101" s="98">
        <v>94215</v>
      </c>
      <c r="N101" s="69">
        <v>4630</v>
      </c>
      <c r="O101" s="98"/>
      <c r="P101" s="98"/>
      <c r="Q101" s="69"/>
      <c r="R101" s="14"/>
      <c r="S101" s="60">
        <f t="shared" si="13"/>
        <v>193331</v>
      </c>
    </row>
    <row r="102" spans="1:19" ht="30">
      <c r="A102" s="61" t="s">
        <v>541</v>
      </c>
      <c r="B102" s="91" t="s">
        <v>545</v>
      </c>
      <c r="C102" s="14">
        <v>100000</v>
      </c>
      <c r="D102" s="21"/>
      <c r="E102" s="4"/>
      <c r="F102" s="4"/>
      <c r="G102" s="69"/>
      <c r="H102" s="4"/>
      <c r="I102" s="4"/>
      <c r="J102" s="4"/>
      <c r="K102" s="4"/>
      <c r="L102" s="4"/>
      <c r="M102" s="98"/>
      <c r="N102" s="69"/>
      <c r="O102" s="98"/>
      <c r="P102" s="98"/>
      <c r="Q102" s="69"/>
      <c r="R102" s="14"/>
      <c r="S102" s="60">
        <f t="shared" si="13"/>
        <v>100000</v>
      </c>
    </row>
    <row r="103" spans="1:19" ht="15">
      <c r="A103" s="61" t="s">
        <v>82</v>
      </c>
      <c r="B103" s="64" t="s">
        <v>83</v>
      </c>
      <c r="C103" s="20">
        <v>705089</v>
      </c>
      <c r="D103" s="21"/>
      <c r="E103" s="4"/>
      <c r="F103" s="4"/>
      <c r="G103" s="14">
        <v>6400</v>
      </c>
      <c r="H103" s="4">
        <v>1200</v>
      </c>
      <c r="I103" s="4"/>
      <c r="J103" s="4">
        <v>25225</v>
      </c>
      <c r="K103" s="4"/>
      <c r="L103" s="4"/>
      <c r="M103" s="98">
        <v>1700</v>
      </c>
      <c r="N103" s="14"/>
      <c r="O103" s="99">
        <v>29000</v>
      </c>
      <c r="P103" s="99">
        <v>62292</v>
      </c>
      <c r="Q103" s="14">
        <v>281541</v>
      </c>
      <c r="R103" s="14"/>
      <c r="S103" s="60">
        <f t="shared" si="13"/>
        <v>1112447</v>
      </c>
    </row>
    <row r="104" spans="1:19" ht="43.5">
      <c r="A104" s="61" t="s">
        <v>84</v>
      </c>
      <c r="B104" s="64" t="s">
        <v>85</v>
      </c>
      <c r="C104" s="20">
        <f aca="true" t="shared" si="19" ref="C104:R104">SUM(C105:C135)</f>
        <v>2743588</v>
      </c>
      <c r="D104" s="20">
        <f t="shared" si="19"/>
        <v>2091785</v>
      </c>
      <c r="E104" s="20">
        <f t="shared" si="19"/>
        <v>0</v>
      </c>
      <c r="F104" s="20">
        <f t="shared" si="19"/>
        <v>278353</v>
      </c>
      <c r="G104" s="20">
        <f t="shared" si="19"/>
        <v>88520</v>
      </c>
      <c r="H104" s="20">
        <f t="shared" si="19"/>
        <v>151672</v>
      </c>
      <c r="I104" s="20">
        <f t="shared" si="19"/>
        <v>176143</v>
      </c>
      <c r="J104" s="20">
        <f t="shared" si="19"/>
        <v>278199</v>
      </c>
      <c r="K104" s="20">
        <f t="shared" si="19"/>
        <v>107779</v>
      </c>
      <c r="L104" s="20">
        <f t="shared" si="19"/>
        <v>100865</v>
      </c>
      <c r="M104" s="20">
        <f t="shared" si="19"/>
        <v>22348</v>
      </c>
      <c r="N104" s="20">
        <f t="shared" si="19"/>
        <v>104168</v>
      </c>
      <c r="O104" s="20">
        <f t="shared" si="19"/>
        <v>1740004</v>
      </c>
      <c r="P104" s="20">
        <f t="shared" si="19"/>
        <v>2082990</v>
      </c>
      <c r="Q104" s="20">
        <f t="shared" si="19"/>
        <v>1644557</v>
      </c>
      <c r="R104" s="20">
        <f t="shared" si="19"/>
        <v>0</v>
      </c>
      <c r="S104" s="60">
        <f t="shared" si="13"/>
        <v>11610971</v>
      </c>
    </row>
    <row r="105" spans="1:19" ht="15">
      <c r="A105" s="63" t="s">
        <v>210</v>
      </c>
      <c r="B105" s="91" t="s">
        <v>408</v>
      </c>
      <c r="C105" s="14">
        <v>62884</v>
      </c>
      <c r="D105" s="4">
        <f>2071266+2972</f>
        <v>2074238</v>
      </c>
      <c r="E105" s="4"/>
      <c r="F105" s="4">
        <v>104720</v>
      </c>
      <c r="G105" s="122"/>
      <c r="H105" s="52">
        <v>20700</v>
      </c>
      <c r="I105" s="4">
        <v>13530</v>
      </c>
      <c r="J105" s="4"/>
      <c r="K105" s="4"/>
      <c r="L105" s="4"/>
      <c r="M105" s="4"/>
      <c r="N105" s="4"/>
      <c r="O105" s="4"/>
      <c r="P105" s="4">
        <v>241356</v>
      </c>
      <c r="Q105" s="14"/>
      <c r="R105" s="14"/>
      <c r="S105" s="60">
        <f t="shared" si="13"/>
        <v>2517428</v>
      </c>
    </row>
    <row r="106" spans="1:19" ht="15">
      <c r="A106" s="63" t="s">
        <v>211</v>
      </c>
      <c r="B106" s="91" t="s">
        <v>409</v>
      </c>
      <c r="C106" s="14"/>
      <c r="D106" s="4"/>
      <c r="E106" s="4"/>
      <c r="F106" s="4">
        <v>173633</v>
      </c>
      <c r="G106" s="122"/>
      <c r="H106" s="4">
        <v>77223</v>
      </c>
      <c r="I106" s="4">
        <v>87935</v>
      </c>
      <c r="J106" s="4">
        <v>147400</v>
      </c>
      <c r="K106" s="4"/>
      <c r="L106" s="4"/>
      <c r="M106" s="4"/>
      <c r="N106" s="14"/>
      <c r="O106" s="14"/>
      <c r="P106" s="14"/>
      <c r="Q106" s="14"/>
      <c r="R106" s="14"/>
      <c r="S106" s="60">
        <f t="shared" si="13"/>
        <v>486191</v>
      </c>
    </row>
    <row r="107" spans="1:19" ht="15">
      <c r="A107" s="63" t="s">
        <v>212</v>
      </c>
      <c r="B107" s="91" t="s">
        <v>410</v>
      </c>
      <c r="C107" s="14">
        <v>10456</v>
      </c>
      <c r="D107" s="4">
        <v>17547</v>
      </c>
      <c r="E107" s="4"/>
      <c r="F107" s="14"/>
      <c r="G107" s="14">
        <v>10586</v>
      </c>
      <c r="H107" s="4"/>
      <c r="I107" s="4"/>
      <c r="J107" s="4">
        <v>15689</v>
      </c>
      <c r="K107" s="4">
        <v>6469</v>
      </c>
      <c r="L107" s="4"/>
      <c r="M107" s="4">
        <v>5050</v>
      </c>
      <c r="N107" s="14"/>
      <c r="O107" s="14"/>
      <c r="P107" s="14">
        <v>40886</v>
      </c>
      <c r="Q107" s="14"/>
      <c r="R107" s="14"/>
      <c r="S107" s="60">
        <f t="shared" si="13"/>
        <v>106683</v>
      </c>
    </row>
    <row r="108" spans="1:19" ht="30">
      <c r="A108" s="63" t="s">
        <v>213</v>
      </c>
      <c r="B108" s="91" t="s">
        <v>310</v>
      </c>
      <c r="C108" s="16">
        <v>43600</v>
      </c>
      <c r="D108" s="4"/>
      <c r="E108" s="4"/>
      <c r="F108" s="14"/>
      <c r="G108" s="4"/>
      <c r="H108" s="4"/>
      <c r="I108" s="4"/>
      <c r="J108" s="4"/>
      <c r="K108" s="4"/>
      <c r="L108" s="4"/>
      <c r="M108" s="4"/>
      <c r="N108" s="14"/>
      <c r="O108" s="14"/>
      <c r="P108" s="14"/>
      <c r="Q108" s="14"/>
      <c r="R108" s="14"/>
      <c r="S108" s="60">
        <f t="shared" si="13"/>
        <v>43600</v>
      </c>
    </row>
    <row r="109" spans="1:19" ht="30">
      <c r="A109" s="63" t="s">
        <v>214</v>
      </c>
      <c r="B109" s="101" t="s">
        <v>411</v>
      </c>
      <c r="C109" s="16">
        <v>65000</v>
      </c>
      <c r="D109" s="4"/>
      <c r="E109" s="4"/>
      <c r="F109" s="14"/>
      <c r="G109" s="14">
        <v>5417</v>
      </c>
      <c r="H109" s="4"/>
      <c r="I109" s="4">
        <v>3739</v>
      </c>
      <c r="J109" s="4">
        <v>2679</v>
      </c>
      <c r="K109" s="4"/>
      <c r="L109" s="4"/>
      <c r="M109" s="4"/>
      <c r="N109" s="14"/>
      <c r="O109" s="14"/>
      <c r="P109" s="14"/>
      <c r="Q109" s="14"/>
      <c r="R109" s="14"/>
      <c r="S109" s="60">
        <f t="shared" si="13"/>
        <v>76835</v>
      </c>
    </row>
    <row r="110" spans="1:19" ht="15">
      <c r="A110" s="63" t="s">
        <v>215</v>
      </c>
      <c r="B110" s="123" t="s">
        <v>412</v>
      </c>
      <c r="C110" s="14">
        <v>64467</v>
      </c>
      <c r="D110" s="14"/>
      <c r="E110" s="14"/>
      <c r="F110" s="14"/>
      <c r="G110" s="14">
        <v>4630</v>
      </c>
      <c r="H110" s="4"/>
      <c r="I110" s="4">
        <v>70939</v>
      </c>
      <c r="J110" s="4"/>
      <c r="K110" s="4">
        <f>80708-46</f>
        <v>80662</v>
      </c>
      <c r="L110" s="4"/>
      <c r="M110" s="98">
        <v>11848</v>
      </c>
      <c r="N110" s="14"/>
      <c r="O110" s="99"/>
      <c r="P110" s="99">
        <v>233480</v>
      </c>
      <c r="Q110" s="14"/>
      <c r="R110" s="14"/>
      <c r="S110" s="60">
        <f t="shared" si="13"/>
        <v>466026</v>
      </c>
    </row>
    <row r="111" spans="1:19" ht="17.25" customHeight="1">
      <c r="A111" s="63" t="s">
        <v>216</v>
      </c>
      <c r="B111" s="91" t="s">
        <v>413</v>
      </c>
      <c r="C111" s="4">
        <v>3000</v>
      </c>
      <c r="D111" s="4"/>
      <c r="E111" s="4"/>
      <c r="F111" s="14"/>
      <c r="G111" s="4"/>
      <c r="H111" s="4"/>
      <c r="I111" s="4"/>
      <c r="J111" s="4"/>
      <c r="K111" s="4"/>
      <c r="L111" s="4"/>
      <c r="M111" s="4"/>
      <c r="N111" s="14"/>
      <c r="O111" s="14"/>
      <c r="P111" s="14">
        <v>12000</v>
      </c>
      <c r="Q111" s="14"/>
      <c r="R111" s="14"/>
      <c r="S111" s="60">
        <f t="shared" si="13"/>
        <v>15000</v>
      </c>
    </row>
    <row r="112" spans="1:19" ht="15">
      <c r="A112" s="63" t="s">
        <v>217</v>
      </c>
      <c r="B112" s="91" t="s">
        <v>414</v>
      </c>
      <c r="C112" s="14"/>
      <c r="D112" s="14"/>
      <c r="E112" s="14"/>
      <c r="F112" s="14"/>
      <c r="G112" s="4"/>
      <c r="H112" s="4">
        <v>53749</v>
      </c>
      <c r="I112" s="4"/>
      <c r="J112" s="4">
        <v>112431</v>
      </c>
      <c r="K112" s="4">
        <v>20648</v>
      </c>
      <c r="L112" s="4">
        <f>100865</f>
        <v>100865</v>
      </c>
      <c r="M112" s="4"/>
      <c r="N112" s="69">
        <v>104168</v>
      </c>
      <c r="O112" s="4"/>
      <c r="P112" s="4"/>
      <c r="Q112" s="69">
        <v>570923</v>
      </c>
      <c r="R112" s="14"/>
      <c r="S112" s="60">
        <f t="shared" si="13"/>
        <v>962784</v>
      </c>
    </row>
    <row r="113" spans="1:19" ht="15">
      <c r="A113" s="63" t="s">
        <v>316</v>
      </c>
      <c r="B113" s="101" t="s">
        <v>311</v>
      </c>
      <c r="C113" s="4">
        <f>344682+1857-600+218000</f>
        <v>563939</v>
      </c>
      <c r="D113" s="4"/>
      <c r="E113" s="4"/>
      <c r="F113" s="4"/>
      <c r="G113" s="4">
        <v>62457</v>
      </c>
      <c r="H113" s="4"/>
      <c r="I113" s="4"/>
      <c r="J113" s="4"/>
      <c r="K113" s="4"/>
      <c r="L113" s="4"/>
      <c r="M113" s="4">
        <v>5450</v>
      </c>
      <c r="N113" s="14"/>
      <c r="O113" s="14"/>
      <c r="P113" s="14">
        <v>179343</v>
      </c>
      <c r="Q113" s="14">
        <v>146825</v>
      </c>
      <c r="R113" s="14"/>
      <c r="S113" s="60">
        <f t="shared" si="13"/>
        <v>958014</v>
      </c>
    </row>
    <row r="114" spans="1:19" ht="30">
      <c r="A114" s="102" t="s">
        <v>354</v>
      </c>
      <c r="B114" s="19" t="s">
        <v>357</v>
      </c>
      <c r="C114" s="14">
        <f>1372662+12974</f>
        <v>1385636</v>
      </c>
      <c r="D114" s="14"/>
      <c r="E114" s="14"/>
      <c r="F114" s="14"/>
      <c r="G114" s="4"/>
      <c r="H114" s="4"/>
      <c r="I114" s="4"/>
      <c r="J114" s="4"/>
      <c r="K114" s="14"/>
      <c r="L114" s="4"/>
      <c r="M114" s="4"/>
      <c r="N114" s="14"/>
      <c r="O114" s="14"/>
      <c r="P114" s="14"/>
      <c r="Q114" s="14"/>
      <c r="R114" s="14"/>
      <c r="S114" s="60">
        <f t="shared" si="13"/>
        <v>1385636</v>
      </c>
    </row>
    <row r="115" spans="1:19" ht="15.75">
      <c r="A115" s="102" t="s">
        <v>415</v>
      </c>
      <c r="B115" s="7" t="s">
        <v>416</v>
      </c>
      <c r="C115" s="14">
        <f>29434+332</f>
        <v>29766</v>
      </c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60">
        <f t="shared" si="13"/>
        <v>29766</v>
      </c>
    </row>
    <row r="116" spans="1:19" ht="15.75">
      <c r="A116" s="102" t="s">
        <v>417</v>
      </c>
      <c r="B116" s="7" t="s">
        <v>418</v>
      </c>
      <c r="C116" s="14">
        <v>54450</v>
      </c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60">
        <f t="shared" si="13"/>
        <v>54450</v>
      </c>
    </row>
    <row r="117" spans="1:19" ht="15.75">
      <c r="A117" s="102" t="s">
        <v>419</v>
      </c>
      <c r="B117" s="124" t="s">
        <v>420</v>
      </c>
      <c r="C117" s="14">
        <v>40000</v>
      </c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60">
        <f t="shared" si="13"/>
        <v>40000</v>
      </c>
    </row>
    <row r="118" spans="1:19" ht="15.75">
      <c r="A118" s="102" t="s">
        <v>469</v>
      </c>
      <c r="B118" s="124" t="s">
        <v>470</v>
      </c>
      <c r="C118" s="14"/>
      <c r="D118" s="14"/>
      <c r="E118" s="14"/>
      <c r="F118" s="14"/>
      <c r="G118" s="14">
        <v>5430</v>
      </c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60">
        <f t="shared" si="13"/>
        <v>5430</v>
      </c>
    </row>
    <row r="119" spans="1:19" ht="15">
      <c r="A119" s="102" t="s">
        <v>529</v>
      </c>
      <c r="B119" s="125" t="s">
        <v>530</v>
      </c>
      <c r="C119" s="14">
        <v>100000</v>
      </c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60">
        <f t="shared" si="13"/>
        <v>100000</v>
      </c>
    </row>
    <row r="120" spans="1:19" ht="45">
      <c r="A120" s="102" t="s">
        <v>538</v>
      </c>
      <c r="B120" s="125" t="s">
        <v>539</v>
      </c>
      <c r="C120" s="14">
        <v>20000</v>
      </c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4"/>
      <c r="Q120" s="14"/>
      <c r="R120" s="14"/>
      <c r="S120" s="60">
        <f t="shared" si="13"/>
        <v>20000</v>
      </c>
    </row>
    <row r="121" spans="1:19" ht="30">
      <c r="A121" s="126" t="s">
        <v>623</v>
      </c>
      <c r="B121" s="125" t="s">
        <v>626</v>
      </c>
      <c r="C121" s="4">
        <v>300390</v>
      </c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14"/>
      <c r="R121" s="14"/>
      <c r="S121" s="60">
        <f t="shared" si="13"/>
        <v>300390</v>
      </c>
    </row>
    <row r="122" spans="1:19" ht="15">
      <c r="A122" s="126" t="s">
        <v>84</v>
      </c>
      <c r="B122" s="125" t="s">
        <v>648</v>
      </c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>
        <v>1265912</v>
      </c>
      <c r="P122" s="4"/>
      <c r="Q122" s="14"/>
      <c r="R122" s="14"/>
      <c r="S122" s="60">
        <f t="shared" si="13"/>
        <v>1265912</v>
      </c>
    </row>
    <row r="123" spans="1:19" ht="15">
      <c r="A123" s="126" t="s">
        <v>658</v>
      </c>
      <c r="B123" s="125" t="s">
        <v>649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>
        <v>197494</v>
      </c>
      <c r="P123" s="4"/>
      <c r="Q123" s="14"/>
      <c r="R123" s="14"/>
      <c r="S123" s="60">
        <f t="shared" si="13"/>
        <v>197494</v>
      </c>
    </row>
    <row r="124" spans="1:19" ht="15">
      <c r="A124" s="126" t="s">
        <v>658</v>
      </c>
      <c r="B124" s="125" t="s">
        <v>262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>
        <v>102890</v>
      </c>
      <c r="P124" s="4"/>
      <c r="Q124" s="14"/>
      <c r="R124" s="14"/>
      <c r="S124" s="60">
        <f t="shared" si="13"/>
        <v>102890</v>
      </c>
    </row>
    <row r="125" spans="1:19" ht="15">
      <c r="A125" s="127" t="s">
        <v>658</v>
      </c>
      <c r="B125" s="128" t="s">
        <v>650</v>
      </c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>
        <f>104225+69483</f>
        <v>173708</v>
      </c>
      <c r="P125" s="17"/>
      <c r="Q125" s="14"/>
      <c r="R125" s="14"/>
      <c r="S125" s="60">
        <f t="shared" si="13"/>
        <v>173708</v>
      </c>
    </row>
    <row r="126" spans="1:19" ht="51.75">
      <c r="A126" s="126" t="s">
        <v>84</v>
      </c>
      <c r="B126" s="129" t="s">
        <v>582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>
        <v>70000</v>
      </c>
      <c r="Q126" s="14"/>
      <c r="R126" s="14"/>
      <c r="S126" s="60">
        <f t="shared" si="13"/>
        <v>70000</v>
      </c>
    </row>
    <row r="127" spans="1:19" ht="15">
      <c r="A127" s="126" t="s">
        <v>658</v>
      </c>
      <c r="B127" s="129" t="s">
        <v>583</v>
      </c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>
        <v>113050</v>
      </c>
      <c r="Q127" s="14"/>
      <c r="R127" s="14"/>
      <c r="S127" s="60">
        <f t="shared" si="13"/>
        <v>113050</v>
      </c>
    </row>
    <row r="128" spans="1:19" ht="39">
      <c r="A128" s="126" t="s">
        <v>84</v>
      </c>
      <c r="B128" s="129" t="s">
        <v>584</v>
      </c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>
        <v>70000</v>
      </c>
      <c r="Q128" s="14"/>
      <c r="R128" s="14"/>
      <c r="S128" s="60">
        <f t="shared" si="13"/>
        <v>70000</v>
      </c>
    </row>
    <row r="129" spans="1:19" ht="15">
      <c r="A129" s="126" t="s">
        <v>84</v>
      </c>
      <c r="B129" s="129" t="s">
        <v>585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>
        <v>165463</v>
      </c>
      <c r="Q129" s="14"/>
      <c r="R129" s="14"/>
      <c r="S129" s="60">
        <f t="shared" si="13"/>
        <v>165463</v>
      </c>
    </row>
    <row r="130" spans="1:19" ht="39">
      <c r="A130" s="126" t="s">
        <v>84</v>
      </c>
      <c r="B130" s="129" t="s">
        <v>586</v>
      </c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>
        <v>145000</v>
      </c>
      <c r="Q130" s="14"/>
      <c r="R130" s="14"/>
      <c r="S130" s="60">
        <f t="shared" si="13"/>
        <v>145000</v>
      </c>
    </row>
    <row r="131" spans="1:19" ht="15">
      <c r="A131" s="126" t="s">
        <v>84</v>
      </c>
      <c r="B131" s="129" t="s">
        <v>587</v>
      </c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>
        <v>42463</v>
      </c>
      <c r="Q131" s="14"/>
      <c r="R131" s="14"/>
      <c r="S131" s="60">
        <f t="shared" si="13"/>
        <v>42463</v>
      </c>
    </row>
    <row r="132" spans="1:19" ht="39">
      <c r="A132" s="126" t="s">
        <v>84</v>
      </c>
      <c r="B132" s="129" t="s">
        <v>588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52">
        <v>285395</v>
      </c>
      <c r="Q132" s="14"/>
      <c r="R132" s="14"/>
      <c r="S132" s="60">
        <f t="shared" si="13"/>
        <v>285395</v>
      </c>
    </row>
    <row r="133" spans="1:19" ht="39">
      <c r="A133" s="126" t="s">
        <v>84</v>
      </c>
      <c r="B133" s="129" t="s">
        <v>589</v>
      </c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>
        <v>27443</v>
      </c>
      <c r="Q133" s="14"/>
      <c r="R133" s="14"/>
      <c r="S133" s="60">
        <f t="shared" si="13"/>
        <v>27443</v>
      </c>
    </row>
    <row r="134" spans="1:19" ht="15">
      <c r="A134" s="126" t="s">
        <v>84</v>
      </c>
      <c r="B134" s="129" t="s">
        <v>590</v>
      </c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>
        <v>457111</v>
      </c>
      <c r="Q134" s="14"/>
      <c r="R134" s="14"/>
      <c r="S134" s="60">
        <f t="shared" si="13"/>
        <v>457111</v>
      </c>
    </row>
    <row r="135" spans="1:19" ht="30.75" thickBot="1">
      <c r="A135" s="126" t="s">
        <v>84</v>
      </c>
      <c r="B135" s="125" t="s">
        <v>633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14">
        <v>926809</v>
      </c>
      <c r="R135" s="14"/>
      <c r="S135" s="60">
        <f t="shared" si="13"/>
        <v>926809</v>
      </c>
    </row>
    <row r="136" spans="1:19" ht="15.75" thickBot="1">
      <c r="A136" s="77" t="s">
        <v>4</v>
      </c>
      <c r="B136" s="47" t="s">
        <v>86</v>
      </c>
      <c r="C136" s="48">
        <f aca="true" t="shared" si="20" ref="C136:P136">SUM(C137+C139+C140+C141+C142+C143)</f>
        <v>123369</v>
      </c>
      <c r="D136" s="48">
        <f t="shared" si="20"/>
        <v>0</v>
      </c>
      <c r="E136" s="48">
        <f t="shared" si="20"/>
        <v>0</v>
      </c>
      <c r="F136" s="48">
        <f t="shared" si="20"/>
        <v>0</v>
      </c>
      <c r="G136" s="48">
        <f t="shared" si="20"/>
        <v>1930</v>
      </c>
      <c r="H136" s="48">
        <f t="shared" si="20"/>
        <v>0</v>
      </c>
      <c r="I136" s="48">
        <f t="shared" si="20"/>
        <v>0</v>
      </c>
      <c r="J136" s="48">
        <f t="shared" si="20"/>
        <v>0</v>
      </c>
      <c r="K136" s="48">
        <f t="shared" si="20"/>
        <v>3419</v>
      </c>
      <c r="L136" s="48">
        <f t="shared" si="20"/>
        <v>29093</v>
      </c>
      <c r="M136" s="48">
        <f t="shared" si="20"/>
        <v>300</v>
      </c>
      <c r="N136" s="48">
        <f t="shared" si="20"/>
        <v>2110</v>
      </c>
      <c r="O136" s="48">
        <f t="shared" si="20"/>
        <v>0</v>
      </c>
      <c r="P136" s="48">
        <f t="shared" si="20"/>
        <v>399203</v>
      </c>
      <c r="Q136" s="48">
        <f>SUM(Q137+Q139+Q140+Q141+Q142+Q143)</f>
        <v>160744</v>
      </c>
      <c r="R136" s="48">
        <f>SUM(R137+R139+R140+R141+R142+R143)</f>
        <v>0</v>
      </c>
      <c r="S136" s="49">
        <f t="shared" si="13"/>
        <v>720168</v>
      </c>
    </row>
    <row r="137" spans="1:19" s="76" customFormat="1" ht="14.25">
      <c r="A137" s="50" t="s">
        <v>87</v>
      </c>
      <c r="B137" s="51" t="s">
        <v>88</v>
      </c>
      <c r="C137" s="18">
        <f>SUM(C138:C138)</f>
        <v>0</v>
      </c>
      <c r="D137" s="18">
        <f aca="true" t="shared" si="21" ref="D137:R137">SUM(D138:D138)</f>
        <v>0</v>
      </c>
      <c r="E137" s="18">
        <f t="shared" si="21"/>
        <v>0</v>
      </c>
      <c r="F137" s="18">
        <f t="shared" si="21"/>
        <v>0</v>
      </c>
      <c r="G137" s="18">
        <f>SUM(G138:G138)</f>
        <v>1930</v>
      </c>
      <c r="H137" s="18">
        <f t="shared" si="21"/>
        <v>0</v>
      </c>
      <c r="I137" s="18">
        <f t="shared" si="21"/>
        <v>0</v>
      </c>
      <c r="J137" s="18">
        <f t="shared" si="21"/>
        <v>0</v>
      </c>
      <c r="K137" s="18">
        <f t="shared" si="21"/>
        <v>3419</v>
      </c>
      <c r="L137" s="18">
        <f t="shared" si="21"/>
        <v>29093</v>
      </c>
      <c r="M137" s="18">
        <f t="shared" si="21"/>
        <v>300</v>
      </c>
      <c r="N137" s="18">
        <f t="shared" si="21"/>
        <v>2110</v>
      </c>
      <c r="O137" s="18">
        <f t="shared" si="21"/>
        <v>0</v>
      </c>
      <c r="P137" s="18">
        <f>SUM(P138:P138)</f>
        <v>23624</v>
      </c>
      <c r="Q137" s="18">
        <f t="shared" si="21"/>
        <v>0</v>
      </c>
      <c r="R137" s="18">
        <f t="shared" si="21"/>
        <v>0</v>
      </c>
      <c r="S137" s="22">
        <f t="shared" si="13"/>
        <v>60476</v>
      </c>
    </row>
    <row r="138" spans="1:19" s="76" customFormat="1" ht="15">
      <c r="A138" s="63" t="s">
        <v>312</v>
      </c>
      <c r="B138" s="24" t="s">
        <v>142</v>
      </c>
      <c r="C138" s="18"/>
      <c r="D138" s="18"/>
      <c r="E138" s="18"/>
      <c r="F138" s="18"/>
      <c r="G138" s="58">
        <v>1930</v>
      </c>
      <c r="H138" s="18"/>
      <c r="I138" s="18"/>
      <c r="J138" s="18"/>
      <c r="K138" s="58">
        <v>3419</v>
      </c>
      <c r="L138" s="18">
        <v>29093</v>
      </c>
      <c r="M138" s="21">
        <v>300</v>
      </c>
      <c r="N138" s="79">
        <v>2110</v>
      </c>
      <c r="O138" s="21"/>
      <c r="P138" s="21">
        <v>23624</v>
      </c>
      <c r="Q138" s="79"/>
      <c r="R138" s="14"/>
      <c r="S138" s="60">
        <f t="shared" si="13"/>
        <v>60476</v>
      </c>
    </row>
    <row r="139" spans="1:19" s="76" customFormat="1" ht="28.5" customHeight="1">
      <c r="A139" s="102" t="s">
        <v>293</v>
      </c>
      <c r="B139" s="130" t="s">
        <v>318</v>
      </c>
      <c r="C139" s="16">
        <v>103000</v>
      </c>
      <c r="D139" s="18"/>
      <c r="E139" s="18"/>
      <c r="F139" s="18"/>
      <c r="G139" s="58"/>
      <c r="H139" s="18"/>
      <c r="I139" s="18"/>
      <c r="J139" s="18"/>
      <c r="K139" s="58"/>
      <c r="L139" s="18"/>
      <c r="M139" s="21"/>
      <c r="N139" s="79"/>
      <c r="O139" s="58"/>
      <c r="P139" s="58"/>
      <c r="Q139" s="79"/>
      <c r="R139" s="14"/>
      <c r="S139" s="60">
        <f t="shared" si="13"/>
        <v>103000</v>
      </c>
    </row>
    <row r="140" spans="1:19" ht="15">
      <c r="A140" s="102" t="s">
        <v>353</v>
      </c>
      <c r="B140" s="130" t="s">
        <v>355</v>
      </c>
      <c r="C140" s="14">
        <v>20369</v>
      </c>
      <c r="D140" s="4"/>
      <c r="E140" s="4"/>
      <c r="F140" s="14"/>
      <c r="G140" s="4"/>
      <c r="H140" s="4"/>
      <c r="I140" s="4"/>
      <c r="J140" s="4"/>
      <c r="K140" s="4"/>
      <c r="L140" s="4"/>
      <c r="M140" s="4"/>
      <c r="N140" s="14"/>
      <c r="O140" s="14"/>
      <c r="P140" s="14">
        <v>69249</v>
      </c>
      <c r="Q140" s="14">
        <v>160744</v>
      </c>
      <c r="R140" s="14"/>
      <c r="S140" s="60">
        <f t="shared" si="13"/>
        <v>250362</v>
      </c>
    </row>
    <row r="141" spans="1:19" ht="30">
      <c r="A141" s="126" t="s">
        <v>659</v>
      </c>
      <c r="B141" s="8" t="s">
        <v>591</v>
      </c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>
        <v>232773</v>
      </c>
      <c r="Q141" s="14"/>
      <c r="R141" s="14"/>
      <c r="S141" s="60">
        <f t="shared" si="13"/>
        <v>232773</v>
      </c>
    </row>
    <row r="142" spans="1:19" ht="45">
      <c r="A142" s="126" t="s">
        <v>659</v>
      </c>
      <c r="B142" s="130" t="s">
        <v>592</v>
      </c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>
        <v>72076</v>
      </c>
      <c r="Q142" s="14"/>
      <c r="R142" s="14"/>
      <c r="S142" s="60">
        <f t="shared" si="13"/>
        <v>72076</v>
      </c>
    </row>
    <row r="143" spans="1:19" ht="45.75" thickBot="1">
      <c r="A143" s="111" t="s">
        <v>659</v>
      </c>
      <c r="B143" s="131" t="s">
        <v>593</v>
      </c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>
        <v>1481</v>
      </c>
      <c r="Q143" s="17"/>
      <c r="R143" s="112"/>
      <c r="S143" s="113">
        <f>SUM(C143:R143)</f>
        <v>1481</v>
      </c>
    </row>
    <row r="144" spans="1:19" ht="15.75" thickBot="1">
      <c r="A144" s="77" t="s">
        <v>6</v>
      </c>
      <c r="B144" s="47" t="s">
        <v>89</v>
      </c>
      <c r="C144" s="48">
        <f aca="true" t="shared" si="22" ref="C144:N144">C145+C149+C171+C174</f>
        <v>2275777</v>
      </c>
      <c r="D144" s="48">
        <f t="shared" si="22"/>
        <v>345453</v>
      </c>
      <c r="E144" s="48">
        <f t="shared" si="22"/>
        <v>1467842</v>
      </c>
      <c r="F144" s="48">
        <f t="shared" si="22"/>
        <v>0</v>
      </c>
      <c r="G144" s="48">
        <f t="shared" si="22"/>
        <v>209260</v>
      </c>
      <c r="H144" s="48">
        <f t="shared" si="22"/>
        <v>103423</v>
      </c>
      <c r="I144" s="48">
        <f t="shared" si="22"/>
        <v>117321</v>
      </c>
      <c r="J144" s="48">
        <f t="shared" si="22"/>
        <v>184713</v>
      </c>
      <c r="K144" s="48">
        <f t="shared" si="22"/>
        <v>39922</v>
      </c>
      <c r="L144" s="48">
        <f t="shared" si="22"/>
        <v>32741</v>
      </c>
      <c r="M144" s="48">
        <f t="shared" si="22"/>
        <v>80374</v>
      </c>
      <c r="N144" s="48">
        <f t="shared" si="22"/>
        <v>56768</v>
      </c>
      <c r="O144" s="48">
        <f>O145+O149+O171+O174+O175</f>
        <v>895414</v>
      </c>
      <c r="P144" s="48">
        <f>P145+P149+P171+P174</f>
        <v>1311935</v>
      </c>
      <c r="Q144" s="48">
        <f>Q145+Q149+Q171+Q174</f>
        <v>789141</v>
      </c>
      <c r="R144" s="48">
        <f>R145+R149+R171+R174</f>
        <v>0</v>
      </c>
      <c r="S144" s="49">
        <f t="shared" si="13"/>
        <v>7910084</v>
      </c>
    </row>
    <row r="145" spans="1:19" ht="15">
      <c r="A145" s="50" t="s">
        <v>90</v>
      </c>
      <c r="B145" s="51" t="s">
        <v>91</v>
      </c>
      <c r="C145" s="18">
        <f>SUM(C146:C148)</f>
        <v>478999</v>
      </c>
      <c r="D145" s="18">
        <f aca="true" t="shared" si="23" ref="D145:R145">SUM(D146:D148)</f>
        <v>345453</v>
      </c>
      <c r="E145" s="18">
        <f t="shared" si="23"/>
        <v>0</v>
      </c>
      <c r="F145" s="18">
        <f t="shared" si="23"/>
        <v>0</v>
      </c>
      <c r="G145" s="18">
        <f t="shared" si="23"/>
        <v>5470</v>
      </c>
      <c r="H145" s="18">
        <f t="shared" si="23"/>
        <v>0</v>
      </c>
      <c r="I145" s="18">
        <f t="shared" si="23"/>
        <v>0</v>
      </c>
      <c r="J145" s="18">
        <f t="shared" si="23"/>
        <v>6359</v>
      </c>
      <c r="K145" s="18">
        <f t="shared" si="23"/>
        <v>0</v>
      </c>
      <c r="L145" s="18">
        <f t="shared" si="23"/>
        <v>0</v>
      </c>
      <c r="M145" s="18">
        <f t="shared" si="23"/>
        <v>10961</v>
      </c>
      <c r="N145" s="18">
        <f>SUM(N146:N148)</f>
        <v>0</v>
      </c>
      <c r="O145" s="18">
        <f>SUM(O146:O148)</f>
        <v>0</v>
      </c>
      <c r="P145" s="18">
        <f>SUM(P146:P148)</f>
        <v>198713</v>
      </c>
      <c r="Q145" s="18">
        <f t="shared" si="23"/>
        <v>85394</v>
      </c>
      <c r="R145" s="18">
        <f t="shared" si="23"/>
        <v>0</v>
      </c>
      <c r="S145" s="22">
        <f aca="true" t="shared" si="24" ref="S145:S208">SUM(C145:R145)</f>
        <v>1131349</v>
      </c>
    </row>
    <row r="146" spans="1:19" ht="15">
      <c r="A146" s="63" t="s">
        <v>218</v>
      </c>
      <c r="B146" s="24" t="s">
        <v>92</v>
      </c>
      <c r="C146" s="14">
        <v>66387</v>
      </c>
      <c r="D146" s="4"/>
      <c r="E146" s="4"/>
      <c r="F146" s="14"/>
      <c r="G146" s="4">
        <v>5470</v>
      </c>
      <c r="H146" s="4"/>
      <c r="I146" s="4"/>
      <c r="J146" s="4">
        <v>6359</v>
      </c>
      <c r="K146" s="4"/>
      <c r="L146" s="4"/>
      <c r="M146" s="4">
        <v>10961</v>
      </c>
      <c r="N146" s="14"/>
      <c r="O146" s="14"/>
      <c r="P146" s="14">
        <v>179763</v>
      </c>
      <c r="Q146" s="14">
        <v>85394</v>
      </c>
      <c r="R146" s="14"/>
      <c r="S146" s="60">
        <f t="shared" si="24"/>
        <v>354334</v>
      </c>
    </row>
    <row r="147" spans="1:19" ht="30">
      <c r="A147" s="63" t="s">
        <v>219</v>
      </c>
      <c r="B147" s="24" t="s">
        <v>93</v>
      </c>
      <c r="C147" s="14">
        <v>412612</v>
      </c>
      <c r="D147" s="4"/>
      <c r="E147" s="4"/>
      <c r="F147" s="14"/>
      <c r="G147" s="4"/>
      <c r="H147" s="4"/>
      <c r="I147" s="4"/>
      <c r="J147" s="4"/>
      <c r="K147" s="4"/>
      <c r="L147" s="4"/>
      <c r="M147" s="4"/>
      <c r="N147" s="14"/>
      <c r="O147" s="14"/>
      <c r="P147" s="14">
        <v>18950</v>
      </c>
      <c r="Q147" s="14"/>
      <c r="R147" s="14"/>
      <c r="S147" s="60">
        <f t="shared" si="24"/>
        <v>431562</v>
      </c>
    </row>
    <row r="148" spans="1:19" ht="15">
      <c r="A148" s="63" t="s">
        <v>283</v>
      </c>
      <c r="B148" s="24" t="s">
        <v>284</v>
      </c>
      <c r="C148" s="14"/>
      <c r="D148" s="14">
        <v>345453</v>
      </c>
      <c r="E148" s="14"/>
      <c r="F148" s="14"/>
      <c r="G148" s="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60">
        <f t="shared" si="24"/>
        <v>345453</v>
      </c>
    </row>
    <row r="149" spans="1:19" ht="15">
      <c r="A149" s="61" t="s">
        <v>94</v>
      </c>
      <c r="B149" s="64" t="s">
        <v>5</v>
      </c>
      <c r="C149" s="20">
        <f>SUM(C150+C151+C155+C161)</f>
        <v>1697707</v>
      </c>
      <c r="D149" s="20">
        <f aca="true" t="shared" si="25" ref="D149:R149">SUM(D150+D151+D155+D161)</f>
        <v>0</v>
      </c>
      <c r="E149" s="20">
        <f t="shared" si="25"/>
        <v>1467842</v>
      </c>
      <c r="F149" s="20">
        <f t="shared" si="25"/>
        <v>0</v>
      </c>
      <c r="G149" s="20">
        <f t="shared" si="25"/>
        <v>203790</v>
      </c>
      <c r="H149" s="20">
        <f t="shared" si="25"/>
        <v>103423</v>
      </c>
      <c r="I149" s="20">
        <f t="shared" si="25"/>
        <v>113487</v>
      </c>
      <c r="J149" s="20">
        <f t="shared" si="25"/>
        <v>171772</v>
      </c>
      <c r="K149" s="20">
        <f t="shared" si="25"/>
        <v>39922</v>
      </c>
      <c r="L149" s="20">
        <f t="shared" si="25"/>
        <v>32741</v>
      </c>
      <c r="M149" s="20">
        <f t="shared" si="25"/>
        <v>69413</v>
      </c>
      <c r="N149" s="20">
        <f t="shared" si="25"/>
        <v>56768</v>
      </c>
      <c r="O149" s="20">
        <f>SUM(O150+O151+O155+O160+O161)</f>
        <v>651159</v>
      </c>
      <c r="P149" s="20">
        <f t="shared" si="25"/>
        <v>1034486</v>
      </c>
      <c r="Q149" s="20">
        <f>SUM(Q150+Q151+Q155+Q161)</f>
        <v>703747</v>
      </c>
      <c r="R149" s="20">
        <f t="shared" si="25"/>
        <v>0</v>
      </c>
      <c r="S149" s="60">
        <f t="shared" si="24"/>
        <v>6346257</v>
      </c>
    </row>
    <row r="150" spans="1:19" ht="15">
      <c r="A150" s="63" t="s">
        <v>333</v>
      </c>
      <c r="B150" s="24" t="s">
        <v>143</v>
      </c>
      <c r="C150" s="14">
        <f>367416+300000+12100+2000+20000</f>
        <v>701516</v>
      </c>
      <c r="D150" s="4"/>
      <c r="E150" s="4"/>
      <c r="F150" s="14"/>
      <c r="G150" s="132">
        <v>31470</v>
      </c>
      <c r="H150" s="4">
        <v>29941</v>
      </c>
      <c r="I150" s="4">
        <v>14742</v>
      </c>
      <c r="J150" s="4">
        <v>32008</v>
      </c>
      <c r="K150" s="4">
        <v>14989</v>
      </c>
      <c r="L150" s="4">
        <v>13903</v>
      </c>
      <c r="M150" s="98">
        <v>16033</v>
      </c>
      <c r="N150" s="69">
        <v>17019</v>
      </c>
      <c r="O150" s="98">
        <v>128354</v>
      </c>
      <c r="P150" s="98">
        <v>179249</v>
      </c>
      <c r="Q150" s="69">
        <v>145069</v>
      </c>
      <c r="R150" s="14"/>
      <c r="S150" s="60">
        <f t="shared" si="24"/>
        <v>1324293</v>
      </c>
    </row>
    <row r="151" spans="1:19" ht="15">
      <c r="A151" s="63" t="s">
        <v>371</v>
      </c>
      <c r="B151" s="24" t="s">
        <v>122</v>
      </c>
      <c r="C151" s="14">
        <f aca="true" t="shared" si="26" ref="C151:N151">SUM(C152:C154)</f>
        <v>192280</v>
      </c>
      <c r="D151" s="14">
        <f>SUM(D152:D154)</f>
        <v>0</v>
      </c>
      <c r="E151" s="14">
        <f t="shared" si="26"/>
        <v>0</v>
      </c>
      <c r="F151" s="14">
        <f t="shared" si="26"/>
        <v>0</v>
      </c>
      <c r="G151" s="14">
        <f t="shared" si="26"/>
        <v>0</v>
      </c>
      <c r="H151" s="14">
        <f t="shared" si="26"/>
        <v>0</v>
      </c>
      <c r="I151" s="14">
        <f t="shared" si="26"/>
        <v>0</v>
      </c>
      <c r="J151" s="14">
        <f t="shared" si="26"/>
        <v>0</v>
      </c>
      <c r="K151" s="14">
        <f t="shared" si="26"/>
        <v>0</v>
      </c>
      <c r="L151" s="14">
        <f t="shared" si="26"/>
        <v>0</v>
      </c>
      <c r="M151" s="14">
        <f t="shared" si="26"/>
        <v>12608</v>
      </c>
      <c r="N151" s="14">
        <f t="shared" si="26"/>
        <v>0</v>
      </c>
      <c r="O151" s="14">
        <f>SUM(O152:O154)</f>
        <v>37635</v>
      </c>
      <c r="P151" s="14">
        <f>SUM(P152:P154)</f>
        <v>98516</v>
      </c>
      <c r="Q151" s="14">
        <f>SUM(Q152:Q154)</f>
        <v>0</v>
      </c>
      <c r="R151" s="14">
        <f>SUM(R152:R154)</f>
        <v>0</v>
      </c>
      <c r="S151" s="60">
        <f t="shared" si="24"/>
        <v>341039</v>
      </c>
    </row>
    <row r="152" spans="1:19" ht="15">
      <c r="A152" s="63" t="s">
        <v>220</v>
      </c>
      <c r="B152" s="24" t="s">
        <v>264</v>
      </c>
      <c r="C152" s="14">
        <v>192280</v>
      </c>
      <c r="D152" s="4"/>
      <c r="E152" s="4"/>
      <c r="F152" s="14"/>
      <c r="G152" s="4"/>
      <c r="H152" s="4"/>
      <c r="I152" s="4"/>
      <c r="J152" s="4"/>
      <c r="K152" s="4"/>
      <c r="L152" s="4"/>
      <c r="M152" s="4"/>
      <c r="N152" s="69"/>
      <c r="O152" s="4">
        <v>20626</v>
      </c>
      <c r="P152" s="4">
        <v>98516</v>
      </c>
      <c r="Q152" s="69"/>
      <c r="R152" s="14"/>
      <c r="S152" s="60">
        <f t="shared" si="24"/>
        <v>311422</v>
      </c>
    </row>
    <row r="153" spans="1:19" ht="15">
      <c r="A153" s="63" t="s">
        <v>341</v>
      </c>
      <c r="B153" s="91" t="s">
        <v>551</v>
      </c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4">
        <v>12608</v>
      </c>
      <c r="N153" s="69"/>
      <c r="O153" s="4"/>
      <c r="P153" s="4"/>
      <c r="Q153" s="69"/>
      <c r="R153" s="14"/>
      <c r="S153" s="60">
        <f t="shared" si="24"/>
        <v>12608</v>
      </c>
    </row>
    <row r="154" spans="1:19" ht="15">
      <c r="A154" s="97" t="s">
        <v>94</v>
      </c>
      <c r="B154" s="91" t="s">
        <v>672</v>
      </c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4"/>
      <c r="N154" s="69"/>
      <c r="O154" s="14">
        <v>17009</v>
      </c>
      <c r="P154" s="4"/>
      <c r="Q154" s="69"/>
      <c r="R154" s="14"/>
      <c r="S154" s="60">
        <f t="shared" si="24"/>
        <v>17009</v>
      </c>
    </row>
    <row r="155" spans="1:19" ht="15">
      <c r="A155" s="63" t="s">
        <v>95</v>
      </c>
      <c r="B155" s="24" t="s">
        <v>372</v>
      </c>
      <c r="C155" s="14">
        <f>SUM(C156:C159)</f>
        <v>0</v>
      </c>
      <c r="D155" s="14">
        <f aca="true" t="shared" si="27" ref="D155:R155">SUM(D156:D159)</f>
        <v>0</v>
      </c>
      <c r="E155" s="14">
        <f t="shared" si="27"/>
        <v>1467842</v>
      </c>
      <c r="F155" s="14">
        <f t="shared" si="27"/>
        <v>0</v>
      </c>
      <c r="G155" s="14">
        <f t="shared" si="27"/>
        <v>172320</v>
      </c>
      <c r="H155" s="14">
        <f t="shared" si="27"/>
        <v>73482</v>
      </c>
      <c r="I155" s="14">
        <f t="shared" si="27"/>
        <v>98745</v>
      </c>
      <c r="J155" s="14">
        <f t="shared" si="27"/>
        <v>139764</v>
      </c>
      <c r="K155" s="14">
        <f t="shared" si="27"/>
        <v>24933</v>
      </c>
      <c r="L155" s="14">
        <f t="shared" si="27"/>
        <v>18838</v>
      </c>
      <c r="M155" s="14">
        <f t="shared" si="27"/>
        <v>40772</v>
      </c>
      <c r="N155" s="14">
        <f t="shared" si="27"/>
        <v>32249</v>
      </c>
      <c r="O155" s="14">
        <f t="shared" si="27"/>
        <v>458393</v>
      </c>
      <c r="P155" s="14">
        <f>SUM(P156:P158)</f>
        <v>551384</v>
      </c>
      <c r="Q155" s="14">
        <f t="shared" si="27"/>
        <v>539936</v>
      </c>
      <c r="R155" s="14">
        <f t="shared" si="27"/>
        <v>0</v>
      </c>
      <c r="S155" s="60">
        <f t="shared" si="24"/>
        <v>3618658</v>
      </c>
    </row>
    <row r="156" spans="1:19" ht="15">
      <c r="A156" s="63" t="s">
        <v>294</v>
      </c>
      <c r="B156" s="24" t="s">
        <v>320</v>
      </c>
      <c r="C156" s="14"/>
      <c r="D156" s="4"/>
      <c r="E156" s="4">
        <v>385884</v>
      </c>
      <c r="F156" s="14"/>
      <c r="G156" s="132">
        <v>172320</v>
      </c>
      <c r="H156" s="4">
        <v>73482</v>
      </c>
      <c r="I156" s="4">
        <v>78470</v>
      </c>
      <c r="J156" s="4">
        <v>139764</v>
      </c>
      <c r="K156" s="4">
        <v>24933</v>
      </c>
      <c r="L156" s="4">
        <v>18838</v>
      </c>
      <c r="M156" s="98">
        <v>40772</v>
      </c>
      <c r="N156" s="69">
        <v>32249</v>
      </c>
      <c r="O156" s="98">
        <v>458393</v>
      </c>
      <c r="P156" s="98">
        <v>551384</v>
      </c>
      <c r="Q156" s="69">
        <v>448188</v>
      </c>
      <c r="R156" s="14"/>
      <c r="S156" s="60">
        <f t="shared" si="24"/>
        <v>2424677</v>
      </c>
    </row>
    <row r="157" spans="1:19" ht="15">
      <c r="A157" s="63" t="s">
        <v>342</v>
      </c>
      <c r="B157" s="24" t="s">
        <v>373</v>
      </c>
      <c r="C157" s="14"/>
      <c r="D157" s="4"/>
      <c r="E157" s="4"/>
      <c r="F157" s="14"/>
      <c r="G157" s="133"/>
      <c r="H157" s="4"/>
      <c r="I157" s="4">
        <v>20275</v>
      </c>
      <c r="J157" s="4"/>
      <c r="K157" s="4"/>
      <c r="L157" s="4"/>
      <c r="M157" s="4"/>
      <c r="N157" s="69"/>
      <c r="O157" s="4"/>
      <c r="P157" s="4"/>
      <c r="Q157" s="69"/>
      <c r="R157" s="14"/>
      <c r="S157" s="60">
        <f t="shared" si="24"/>
        <v>20275</v>
      </c>
    </row>
    <row r="158" spans="1:19" ht="15">
      <c r="A158" s="63" t="s">
        <v>319</v>
      </c>
      <c r="B158" s="24" t="s">
        <v>123</v>
      </c>
      <c r="C158" s="14"/>
      <c r="D158" s="4"/>
      <c r="E158" s="4">
        <f>1069126+12832</f>
        <v>1081958</v>
      </c>
      <c r="F158" s="14"/>
      <c r="G158" s="4"/>
      <c r="H158" s="4"/>
      <c r="I158" s="4"/>
      <c r="J158" s="4"/>
      <c r="K158" s="4"/>
      <c r="L158" s="4"/>
      <c r="M158" s="4"/>
      <c r="N158" s="14"/>
      <c r="O158" s="14"/>
      <c r="P158" s="14"/>
      <c r="Q158" s="14"/>
      <c r="R158" s="14"/>
      <c r="S158" s="60">
        <f t="shared" si="24"/>
        <v>1081958</v>
      </c>
    </row>
    <row r="159" spans="1:19" ht="15">
      <c r="A159" s="97" t="s">
        <v>94</v>
      </c>
      <c r="B159" s="24" t="s">
        <v>651</v>
      </c>
      <c r="C159" s="14"/>
      <c r="D159" s="4"/>
      <c r="E159" s="4"/>
      <c r="F159" s="14"/>
      <c r="G159" s="4"/>
      <c r="H159" s="4"/>
      <c r="I159" s="4"/>
      <c r="J159" s="4"/>
      <c r="K159" s="4"/>
      <c r="L159" s="4"/>
      <c r="M159" s="4"/>
      <c r="N159" s="14"/>
      <c r="O159" s="14"/>
      <c r="P159" s="14"/>
      <c r="Q159" s="14">
        <v>91748</v>
      </c>
      <c r="R159" s="14"/>
      <c r="S159" s="60">
        <f t="shared" si="24"/>
        <v>91748</v>
      </c>
    </row>
    <row r="160" spans="1:19" ht="15">
      <c r="A160" s="97" t="s">
        <v>94</v>
      </c>
      <c r="B160" s="24" t="s">
        <v>552</v>
      </c>
      <c r="C160" s="14"/>
      <c r="D160" s="4"/>
      <c r="E160" s="4"/>
      <c r="F160" s="14"/>
      <c r="G160" s="4"/>
      <c r="H160" s="4"/>
      <c r="I160" s="4"/>
      <c r="J160" s="4"/>
      <c r="K160" s="4"/>
      <c r="L160" s="4"/>
      <c r="M160" s="4"/>
      <c r="N160" s="14"/>
      <c r="O160" s="14">
        <v>26777</v>
      </c>
      <c r="P160" s="14"/>
      <c r="Q160" s="14"/>
      <c r="R160" s="14"/>
      <c r="S160" s="60">
        <f t="shared" si="24"/>
        <v>26777</v>
      </c>
    </row>
    <row r="161" spans="1:19" s="76" customFormat="1" ht="14.25">
      <c r="A161" s="61" t="s">
        <v>96</v>
      </c>
      <c r="B161" s="62" t="s">
        <v>221</v>
      </c>
      <c r="C161" s="21">
        <f>SUM(C162:C170)</f>
        <v>803911</v>
      </c>
      <c r="D161" s="21">
        <f aca="true" t="shared" si="28" ref="D161:N161">SUM(D162:D169)</f>
        <v>0</v>
      </c>
      <c r="E161" s="21">
        <f t="shared" si="28"/>
        <v>0</v>
      </c>
      <c r="F161" s="21">
        <f t="shared" si="28"/>
        <v>0</v>
      </c>
      <c r="G161" s="21">
        <f t="shared" si="28"/>
        <v>0</v>
      </c>
      <c r="H161" s="21">
        <f t="shared" si="28"/>
        <v>0</v>
      </c>
      <c r="I161" s="21">
        <f t="shared" si="28"/>
        <v>0</v>
      </c>
      <c r="J161" s="21">
        <f t="shared" si="28"/>
        <v>0</v>
      </c>
      <c r="K161" s="21">
        <f t="shared" si="28"/>
        <v>0</v>
      </c>
      <c r="L161" s="21">
        <f t="shared" si="28"/>
        <v>0</v>
      </c>
      <c r="M161" s="21">
        <f t="shared" si="28"/>
        <v>0</v>
      </c>
      <c r="N161" s="21">
        <f t="shared" si="28"/>
        <v>7500</v>
      </c>
      <c r="O161" s="21">
        <f>SUM(O162:O170)</f>
        <v>0</v>
      </c>
      <c r="P161" s="21">
        <f>SUM(P162:P169)</f>
        <v>205337</v>
      </c>
      <c r="Q161" s="20">
        <f>SUM(Q162:Q169)</f>
        <v>18742</v>
      </c>
      <c r="R161" s="20">
        <f>SUM(R162:R169)</f>
        <v>0</v>
      </c>
      <c r="S161" s="60">
        <f t="shared" si="24"/>
        <v>1035490</v>
      </c>
    </row>
    <row r="162" spans="1:19" ht="15">
      <c r="A162" s="63" t="s">
        <v>222</v>
      </c>
      <c r="B162" s="91" t="s">
        <v>295</v>
      </c>
      <c r="C162" s="14">
        <f>72604+4000</f>
        <v>76604</v>
      </c>
      <c r="D162" s="4"/>
      <c r="E162" s="4"/>
      <c r="F162" s="14"/>
      <c r="G162" s="4"/>
      <c r="H162" s="4"/>
      <c r="I162" s="4"/>
      <c r="J162" s="4"/>
      <c r="K162" s="4"/>
      <c r="L162" s="4"/>
      <c r="M162" s="4"/>
      <c r="N162" s="14">
        <v>7500</v>
      </c>
      <c r="O162" s="14"/>
      <c r="P162" s="14">
        <v>205337</v>
      </c>
      <c r="Q162" s="14">
        <v>18742</v>
      </c>
      <c r="R162" s="14"/>
      <c r="S162" s="60">
        <f t="shared" si="24"/>
        <v>308183</v>
      </c>
    </row>
    <row r="163" spans="1:19" ht="15">
      <c r="A163" s="63" t="s">
        <v>223</v>
      </c>
      <c r="B163" s="91" t="s">
        <v>124</v>
      </c>
      <c r="C163" s="14">
        <v>153525</v>
      </c>
      <c r="D163" s="4"/>
      <c r="E163" s="4"/>
      <c r="F163" s="14"/>
      <c r="G163" s="4"/>
      <c r="H163" s="4"/>
      <c r="I163" s="4"/>
      <c r="J163" s="4"/>
      <c r="K163" s="4"/>
      <c r="L163" s="4"/>
      <c r="M163" s="4"/>
      <c r="N163" s="14"/>
      <c r="O163" s="14"/>
      <c r="P163" s="14"/>
      <c r="Q163" s="14"/>
      <c r="R163" s="14"/>
      <c r="S163" s="60">
        <f t="shared" si="24"/>
        <v>153525</v>
      </c>
    </row>
    <row r="164" spans="1:19" ht="30">
      <c r="A164" s="63" t="s">
        <v>313</v>
      </c>
      <c r="B164" s="91" t="s">
        <v>421</v>
      </c>
      <c r="C164" s="14">
        <v>20000</v>
      </c>
      <c r="D164" s="4"/>
      <c r="E164" s="4"/>
      <c r="F164" s="14"/>
      <c r="G164" s="4"/>
      <c r="H164" s="4"/>
      <c r="I164" s="4"/>
      <c r="J164" s="4"/>
      <c r="K164" s="4"/>
      <c r="L164" s="4"/>
      <c r="M164" s="4"/>
      <c r="N164" s="14"/>
      <c r="O164" s="14"/>
      <c r="P164" s="14"/>
      <c r="Q164" s="14"/>
      <c r="R164" s="14"/>
      <c r="S164" s="60">
        <f t="shared" si="24"/>
        <v>20000</v>
      </c>
    </row>
    <row r="165" spans="1:19" ht="45">
      <c r="A165" s="63" t="s">
        <v>272</v>
      </c>
      <c r="B165" s="134" t="s">
        <v>422</v>
      </c>
      <c r="C165" s="14">
        <v>20000</v>
      </c>
      <c r="D165" s="4"/>
      <c r="E165" s="4"/>
      <c r="F165" s="14"/>
      <c r="G165" s="4"/>
      <c r="H165" s="4"/>
      <c r="I165" s="4"/>
      <c r="J165" s="4"/>
      <c r="K165" s="4"/>
      <c r="L165" s="4"/>
      <c r="M165" s="4"/>
      <c r="N165" s="14"/>
      <c r="O165" s="14"/>
      <c r="P165" s="14"/>
      <c r="Q165" s="14"/>
      <c r="R165" s="14"/>
      <c r="S165" s="60">
        <f t="shared" si="24"/>
        <v>20000</v>
      </c>
    </row>
    <row r="166" spans="1:19" ht="47.25">
      <c r="A166" s="102" t="s">
        <v>374</v>
      </c>
      <c r="B166" s="7" t="s">
        <v>423</v>
      </c>
      <c r="C166" s="14">
        <v>47418</v>
      </c>
      <c r="D166" s="4"/>
      <c r="E166" s="4"/>
      <c r="F166" s="14"/>
      <c r="G166" s="4"/>
      <c r="H166" s="4"/>
      <c r="I166" s="4"/>
      <c r="J166" s="4"/>
      <c r="K166" s="4"/>
      <c r="L166" s="4"/>
      <c r="M166" s="4"/>
      <c r="N166" s="14"/>
      <c r="O166" s="14"/>
      <c r="P166" s="14"/>
      <c r="Q166" s="14"/>
      <c r="R166" s="14"/>
      <c r="S166" s="60">
        <f t="shared" si="24"/>
        <v>47418</v>
      </c>
    </row>
    <row r="167" spans="1:19" ht="30">
      <c r="A167" s="102" t="s">
        <v>435</v>
      </c>
      <c r="B167" s="135" t="s">
        <v>436</v>
      </c>
      <c r="C167" s="14">
        <v>61672</v>
      </c>
      <c r="D167" s="4"/>
      <c r="E167" s="4"/>
      <c r="F167" s="14"/>
      <c r="G167" s="4"/>
      <c r="H167" s="4"/>
      <c r="I167" s="4"/>
      <c r="J167" s="4"/>
      <c r="K167" s="4"/>
      <c r="L167" s="4"/>
      <c r="M167" s="4"/>
      <c r="N167" s="14"/>
      <c r="O167" s="14"/>
      <c r="P167" s="14"/>
      <c r="Q167" s="14"/>
      <c r="R167" s="14"/>
      <c r="S167" s="60">
        <f t="shared" si="24"/>
        <v>61672</v>
      </c>
    </row>
    <row r="168" spans="1:19" ht="30">
      <c r="A168" s="102" t="s">
        <v>439</v>
      </c>
      <c r="B168" s="135" t="s">
        <v>481</v>
      </c>
      <c r="C168" s="14">
        <v>22192</v>
      </c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60">
        <f t="shared" si="24"/>
        <v>22192</v>
      </c>
    </row>
    <row r="169" spans="1:19" ht="15">
      <c r="A169" s="102" t="s">
        <v>536</v>
      </c>
      <c r="B169" s="136" t="s">
        <v>537</v>
      </c>
      <c r="C169" s="14">
        <v>20000</v>
      </c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60">
        <f t="shared" si="24"/>
        <v>20000</v>
      </c>
    </row>
    <row r="170" spans="1:19" ht="30">
      <c r="A170" s="102" t="s">
        <v>624</v>
      </c>
      <c r="B170" s="136" t="s">
        <v>625</v>
      </c>
      <c r="C170" s="14">
        <v>382500</v>
      </c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60">
        <f t="shared" si="24"/>
        <v>382500</v>
      </c>
    </row>
    <row r="171" spans="1:19" ht="15">
      <c r="A171" s="61" t="s">
        <v>321</v>
      </c>
      <c r="B171" s="137" t="s">
        <v>322</v>
      </c>
      <c r="C171" s="14">
        <f aca="true" t="shared" si="29" ref="C171:R171">SUM(C172:C173)</f>
        <v>88489</v>
      </c>
      <c r="D171" s="14">
        <f t="shared" si="29"/>
        <v>0</v>
      </c>
      <c r="E171" s="14">
        <f t="shared" si="29"/>
        <v>0</v>
      </c>
      <c r="F171" s="14">
        <f t="shared" si="29"/>
        <v>0</v>
      </c>
      <c r="G171" s="14">
        <f t="shared" si="29"/>
        <v>0</v>
      </c>
      <c r="H171" s="14">
        <f t="shared" si="29"/>
        <v>0</v>
      </c>
      <c r="I171" s="14">
        <f t="shared" si="29"/>
        <v>3834</v>
      </c>
      <c r="J171" s="14">
        <f t="shared" si="29"/>
        <v>6582</v>
      </c>
      <c r="K171" s="14">
        <f t="shared" si="29"/>
        <v>0</v>
      </c>
      <c r="L171" s="14">
        <f t="shared" si="29"/>
        <v>0</v>
      </c>
      <c r="M171" s="14">
        <f t="shared" si="29"/>
        <v>0</v>
      </c>
      <c r="N171" s="14">
        <f>SUM(N172:N173)</f>
        <v>0</v>
      </c>
      <c r="O171" s="14">
        <f>SUM(O172:O173)</f>
        <v>11230</v>
      </c>
      <c r="P171" s="14">
        <v>78736</v>
      </c>
      <c r="Q171" s="14">
        <f t="shared" si="29"/>
        <v>0</v>
      </c>
      <c r="R171" s="14">
        <f t="shared" si="29"/>
        <v>0</v>
      </c>
      <c r="S171" s="60">
        <f t="shared" si="24"/>
        <v>188871</v>
      </c>
    </row>
    <row r="172" spans="1:19" ht="15">
      <c r="A172" s="138" t="s">
        <v>343</v>
      </c>
      <c r="B172" s="62" t="s">
        <v>97</v>
      </c>
      <c r="C172" s="20">
        <v>23600</v>
      </c>
      <c r="D172" s="21"/>
      <c r="E172" s="21"/>
      <c r="F172" s="20"/>
      <c r="G172" s="4"/>
      <c r="H172" s="4"/>
      <c r="I172" s="4"/>
      <c r="J172" s="4">
        <v>2300</v>
      </c>
      <c r="K172" s="4"/>
      <c r="L172" s="4"/>
      <c r="M172" s="4"/>
      <c r="N172" s="14"/>
      <c r="O172" s="14"/>
      <c r="P172" s="14"/>
      <c r="Q172" s="14"/>
      <c r="R172" s="14"/>
      <c r="S172" s="60">
        <f t="shared" si="24"/>
        <v>25900</v>
      </c>
    </row>
    <row r="173" spans="1:19" ht="29.25">
      <c r="A173" s="138" t="s">
        <v>344</v>
      </c>
      <c r="B173" s="62" t="s">
        <v>98</v>
      </c>
      <c r="C173" s="20">
        <f>70747-5858</f>
        <v>64889</v>
      </c>
      <c r="D173" s="21"/>
      <c r="E173" s="21"/>
      <c r="F173" s="20"/>
      <c r="G173" s="4"/>
      <c r="H173" s="4"/>
      <c r="I173" s="4">
        <v>3834</v>
      </c>
      <c r="J173" s="4">
        <v>4282</v>
      </c>
      <c r="K173" s="4"/>
      <c r="L173" s="4"/>
      <c r="M173" s="4"/>
      <c r="N173" s="14"/>
      <c r="O173" s="14">
        <v>11230</v>
      </c>
      <c r="P173" s="14">
        <v>78736</v>
      </c>
      <c r="Q173" s="14"/>
      <c r="R173" s="14"/>
      <c r="S173" s="60">
        <f t="shared" si="24"/>
        <v>162971</v>
      </c>
    </row>
    <row r="174" spans="1:19" ht="43.5">
      <c r="A174" s="139" t="s">
        <v>548</v>
      </c>
      <c r="B174" s="35" t="s">
        <v>471</v>
      </c>
      <c r="C174" s="89">
        <f>15000-4418</f>
        <v>10582</v>
      </c>
      <c r="D174" s="140"/>
      <c r="E174" s="140"/>
      <c r="F174" s="89"/>
      <c r="G174" s="85"/>
      <c r="H174" s="85"/>
      <c r="I174" s="85"/>
      <c r="J174" s="85"/>
      <c r="K174" s="85"/>
      <c r="L174" s="85"/>
      <c r="M174" s="85"/>
      <c r="N174" s="17"/>
      <c r="O174" s="17"/>
      <c r="P174" s="17"/>
      <c r="Q174" s="14"/>
      <c r="R174" s="14"/>
      <c r="S174" s="60">
        <f t="shared" si="24"/>
        <v>10582</v>
      </c>
    </row>
    <row r="175" spans="1:19" ht="29.25">
      <c r="A175" s="141" t="s">
        <v>553</v>
      </c>
      <c r="B175" s="142" t="s">
        <v>554</v>
      </c>
      <c r="C175" s="4">
        <f>SUM(C177:C182)</f>
        <v>0</v>
      </c>
      <c r="D175" s="4">
        <f aca="true" t="shared" si="30" ref="D175:N175">SUM(D177:D182)</f>
        <v>0</v>
      </c>
      <c r="E175" s="4">
        <f t="shared" si="30"/>
        <v>0</v>
      </c>
      <c r="F175" s="4">
        <f t="shared" si="30"/>
        <v>0</v>
      </c>
      <c r="G175" s="4">
        <f t="shared" si="30"/>
        <v>0</v>
      </c>
      <c r="H175" s="4">
        <f t="shared" si="30"/>
        <v>0</v>
      </c>
      <c r="I175" s="4">
        <f t="shared" si="30"/>
        <v>0</v>
      </c>
      <c r="J175" s="4">
        <f t="shared" si="30"/>
        <v>0</v>
      </c>
      <c r="K175" s="4">
        <f t="shared" si="30"/>
        <v>0</v>
      </c>
      <c r="L175" s="4">
        <f t="shared" si="30"/>
        <v>0</v>
      </c>
      <c r="M175" s="4">
        <f t="shared" si="30"/>
        <v>0</v>
      </c>
      <c r="N175" s="4">
        <f t="shared" si="30"/>
        <v>0</v>
      </c>
      <c r="O175" s="4">
        <f>SUM(O176:O182)</f>
        <v>233025</v>
      </c>
      <c r="P175" s="4">
        <f>SUM(P176:P182)</f>
        <v>0</v>
      </c>
      <c r="Q175" s="4">
        <f>SUM(Q176:Q182)</f>
        <v>0</v>
      </c>
      <c r="R175" s="4">
        <f>SUM(R176:R182)</f>
        <v>0</v>
      </c>
      <c r="S175" s="60">
        <f t="shared" si="24"/>
        <v>233025</v>
      </c>
    </row>
    <row r="176" spans="1:19" ht="15">
      <c r="A176" s="126" t="s">
        <v>553</v>
      </c>
      <c r="B176" s="143" t="s">
        <v>665</v>
      </c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>
        <v>53560</v>
      </c>
      <c r="P176" s="4"/>
      <c r="Q176" s="16"/>
      <c r="R176" s="14"/>
      <c r="S176" s="60">
        <f t="shared" si="24"/>
        <v>53560</v>
      </c>
    </row>
    <row r="177" spans="1:19" ht="15">
      <c r="A177" s="126" t="s">
        <v>553</v>
      </c>
      <c r="B177" s="143" t="s">
        <v>555</v>
      </c>
      <c r="C177" s="21"/>
      <c r="D177" s="21"/>
      <c r="E177" s="21"/>
      <c r="F177" s="21"/>
      <c r="G177" s="4"/>
      <c r="H177" s="4"/>
      <c r="I177" s="4"/>
      <c r="J177" s="4"/>
      <c r="K177" s="4"/>
      <c r="L177" s="4"/>
      <c r="M177" s="4"/>
      <c r="N177" s="4"/>
      <c r="O177" s="4">
        <v>73047</v>
      </c>
      <c r="P177" s="4"/>
      <c r="Q177" s="16"/>
      <c r="R177" s="14"/>
      <c r="S177" s="60">
        <f t="shared" si="24"/>
        <v>73047</v>
      </c>
    </row>
    <row r="178" spans="1:19" ht="15">
      <c r="A178" s="126" t="s">
        <v>553</v>
      </c>
      <c r="B178" s="143" t="s">
        <v>556</v>
      </c>
      <c r="C178" s="21"/>
      <c r="D178" s="21"/>
      <c r="E178" s="21"/>
      <c r="F178" s="20"/>
      <c r="G178" s="4"/>
      <c r="H178" s="4"/>
      <c r="I178" s="4"/>
      <c r="J178" s="4"/>
      <c r="K178" s="4"/>
      <c r="L178" s="4"/>
      <c r="M178" s="4"/>
      <c r="N178" s="14"/>
      <c r="O178" s="14">
        <v>18249</v>
      </c>
      <c r="P178" s="14"/>
      <c r="Q178" s="14"/>
      <c r="R178" s="14"/>
      <c r="S178" s="60">
        <f t="shared" si="24"/>
        <v>18249</v>
      </c>
    </row>
    <row r="179" spans="1:19" ht="30">
      <c r="A179" s="126" t="s">
        <v>553</v>
      </c>
      <c r="B179" s="91" t="s">
        <v>315</v>
      </c>
      <c r="C179" s="21"/>
      <c r="D179" s="58"/>
      <c r="E179" s="58"/>
      <c r="F179" s="18"/>
      <c r="G179" s="52"/>
      <c r="H179" s="52"/>
      <c r="I179" s="52"/>
      <c r="J179" s="52"/>
      <c r="K179" s="52"/>
      <c r="L179" s="52"/>
      <c r="M179" s="52"/>
      <c r="N179" s="16"/>
      <c r="O179" s="16">
        <v>2228</v>
      </c>
      <c r="P179" s="16"/>
      <c r="Q179" s="16"/>
      <c r="R179" s="14"/>
      <c r="S179" s="60">
        <f t="shared" si="24"/>
        <v>2228</v>
      </c>
    </row>
    <row r="180" spans="1:19" ht="30">
      <c r="A180" s="126" t="s">
        <v>553</v>
      </c>
      <c r="B180" s="143" t="s">
        <v>557</v>
      </c>
      <c r="C180" s="21"/>
      <c r="D180" s="21"/>
      <c r="E180" s="21"/>
      <c r="F180" s="20"/>
      <c r="G180" s="4"/>
      <c r="H180" s="4"/>
      <c r="I180" s="4"/>
      <c r="J180" s="4"/>
      <c r="K180" s="4"/>
      <c r="L180" s="4"/>
      <c r="M180" s="4"/>
      <c r="N180" s="14"/>
      <c r="O180" s="14">
        <v>14298</v>
      </c>
      <c r="P180" s="14"/>
      <c r="Q180" s="14"/>
      <c r="R180" s="14"/>
      <c r="S180" s="60">
        <f t="shared" si="24"/>
        <v>14298</v>
      </c>
    </row>
    <row r="181" spans="1:19" ht="15">
      <c r="A181" s="126" t="s">
        <v>553</v>
      </c>
      <c r="B181" s="143" t="s">
        <v>558</v>
      </c>
      <c r="C181" s="21"/>
      <c r="D181" s="21"/>
      <c r="E181" s="21"/>
      <c r="F181" s="20"/>
      <c r="G181" s="4"/>
      <c r="H181" s="4"/>
      <c r="I181" s="4"/>
      <c r="J181" s="4"/>
      <c r="K181" s="4"/>
      <c r="L181" s="4"/>
      <c r="M181" s="4"/>
      <c r="N181" s="14"/>
      <c r="O181" s="14">
        <v>4130</v>
      </c>
      <c r="P181" s="14"/>
      <c r="Q181" s="14"/>
      <c r="R181" s="14"/>
      <c r="S181" s="60">
        <f t="shared" si="24"/>
        <v>4130</v>
      </c>
    </row>
    <row r="182" spans="1:19" ht="15.75" thickBot="1">
      <c r="A182" s="144" t="s">
        <v>553</v>
      </c>
      <c r="B182" s="145" t="s">
        <v>559</v>
      </c>
      <c r="C182" s="89"/>
      <c r="D182" s="140"/>
      <c r="E182" s="140"/>
      <c r="F182" s="89"/>
      <c r="G182" s="85"/>
      <c r="H182" s="85"/>
      <c r="I182" s="85"/>
      <c r="J182" s="85"/>
      <c r="K182" s="85"/>
      <c r="L182" s="85"/>
      <c r="M182" s="85"/>
      <c r="N182" s="17"/>
      <c r="O182" s="17">
        <v>67513</v>
      </c>
      <c r="P182" s="17"/>
      <c r="Q182" s="17"/>
      <c r="R182" s="112"/>
      <c r="S182" s="113">
        <f t="shared" si="24"/>
        <v>67513</v>
      </c>
    </row>
    <row r="183" spans="1:19" ht="15.75" thickBot="1">
      <c r="A183" s="146" t="s">
        <v>99</v>
      </c>
      <c r="B183" s="114" t="s">
        <v>0</v>
      </c>
      <c r="C183" s="78">
        <f aca="true" t="shared" si="31" ref="C183:P183">C184+C203+C204+C229+C241+C248+C250</f>
        <v>27186894</v>
      </c>
      <c r="D183" s="78">
        <f t="shared" si="31"/>
        <v>0</v>
      </c>
      <c r="E183" s="78">
        <f t="shared" si="31"/>
        <v>0</v>
      </c>
      <c r="F183" s="78">
        <f t="shared" si="31"/>
        <v>0</v>
      </c>
      <c r="G183" s="78">
        <f t="shared" si="31"/>
        <v>1126092</v>
      </c>
      <c r="H183" s="78">
        <f t="shared" si="31"/>
        <v>0</v>
      </c>
      <c r="I183" s="78">
        <f t="shared" si="31"/>
        <v>432943</v>
      </c>
      <c r="J183" s="78">
        <f t="shared" si="31"/>
        <v>1240565</v>
      </c>
      <c r="K183" s="78">
        <f t="shared" si="31"/>
        <v>43934</v>
      </c>
      <c r="L183" s="78">
        <f t="shared" si="31"/>
        <v>65132</v>
      </c>
      <c r="M183" s="78">
        <f t="shared" si="31"/>
        <v>38053</v>
      </c>
      <c r="N183" s="78">
        <f t="shared" si="31"/>
        <v>618746</v>
      </c>
      <c r="O183" s="78">
        <f t="shared" si="31"/>
        <v>3051567</v>
      </c>
      <c r="P183" s="78">
        <f t="shared" si="31"/>
        <v>7320570</v>
      </c>
      <c r="Q183" s="48">
        <f>Q184+Q203+Q204+Q229+Q241+Q248+Q249+Q250</f>
        <v>7379918</v>
      </c>
      <c r="R183" s="48">
        <f>R184+R203+R204+R229+R241+R248+R250</f>
        <v>0</v>
      </c>
      <c r="S183" s="49">
        <f t="shared" si="24"/>
        <v>48504414</v>
      </c>
    </row>
    <row r="184" spans="1:19" ht="15">
      <c r="A184" s="50" t="s">
        <v>100</v>
      </c>
      <c r="B184" s="51" t="s">
        <v>224</v>
      </c>
      <c r="C184" s="18">
        <f>SUM(C185:C201)</f>
        <v>4792143</v>
      </c>
      <c r="D184" s="18">
        <f aca="true" t="shared" si="32" ref="D184:P184">SUM(D185:D202)</f>
        <v>0</v>
      </c>
      <c r="E184" s="18">
        <f t="shared" si="32"/>
        <v>0</v>
      </c>
      <c r="F184" s="18">
        <f t="shared" si="32"/>
        <v>0</v>
      </c>
      <c r="G184" s="18">
        <f t="shared" si="32"/>
        <v>0</v>
      </c>
      <c r="H184" s="18">
        <f t="shared" si="32"/>
        <v>0</v>
      </c>
      <c r="I184" s="18">
        <f t="shared" si="32"/>
        <v>0</v>
      </c>
      <c r="J184" s="18">
        <f t="shared" si="32"/>
        <v>382672</v>
      </c>
      <c r="K184" s="18">
        <f t="shared" si="32"/>
        <v>0</v>
      </c>
      <c r="L184" s="18">
        <f t="shared" si="32"/>
        <v>0</v>
      </c>
      <c r="M184" s="18">
        <f t="shared" si="32"/>
        <v>0</v>
      </c>
      <c r="N184" s="18">
        <f t="shared" si="32"/>
        <v>0</v>
      </c>
      <c r="O184" s="18">
        <f t="shared" si="32"/>
        <v>1593871</v>
      </c>
      <c r="P184" s="18">
        <f t="shared" si="32"/>
        <v>2093593</v>
      </c>
      <c r="Q184" s="18">
        <f>SUM(Q185:Q202)</f>
        <v>2797887</v>
      </c>
      <c r="R184" s="18">
        <f>SUM(R185:R202)</f>
        <v>0</v>
      </c>
      <c r="S184" s="22">
        <f t="shared" si="24"/>
        <v>11660166</v>
      </c>
    </row>
    <row r="185" spans="1:19" ht="15">
      <c r="A185" s="63" t="s">
        <v>225</v>
      </c>
      <c r="B185" s="24" t="s">
        <v>101</v>
      </c>
      <c r="C185" s="14">
        <f>866212+5562+15910</f>
        <v>887684</v>
      </c>
      <c r="D185" s="4"/>
      <c r="E185" s="4"/>
      <c r="F185" s="14"/>
      <c r="G185" s="4"/>
      <c r="H185" s="4"/>
      <c r="I185" s="4"/>
      <c r="J185" s="4"/>
      <c r="K185" s="4"/>
      <c r="L185" s="4"/>
      <c r="M185" s="4"/>
      <c r="N185" s="14"/>
      <c r="O185" s="14"/>
      <c r="P185" s="14"/>
      <c r="Q185" s="14"/>
      <c r="R185" s="14"/>
      <c r="S185" s="60">
        <f t="shared" si="24"/>
        <v>887684</v>
      </c>
    </row>
    <row r="186" spans="1:19" ht="15">
      <c r="A186" s="63" t="s">
        <v>226</v>
      </c>
      <c r="B186" s="24" t="s">
        <v>102</v>
      </c>
      <c r="C186" s="14">
        <f>620403+11310</f>
        <v>631713</v>
      </c>
      <c r="D186" s="4"/>
      <c r="E186" s="4"/>
      <c r="F186" s="14"/>
      <c r="G186" s="4"/>
      <c r="H186" s="4"/>
      <c r="I186" s="4"/>
      <c r="J186" s="4"/>
      <c r="K186" s="4"/>
      <c r="L186" s="4"/>
      <c r="M186" s="4"/>
      <c r="N186" s="14"/>
      <c r="O186" s="14"/>
      <c r="P186" s="14"/>
      <c r="Q186" s="14"/>
      <c r="R186" s="14"/>
      <c r="S186" s="60">
        <f t="shared" si="24"/>
        <v>631713</v>
      </c>
    </row>
    <row r="187" spans="1:19" ht="15">
      <c r="A187" s="63" t="s">
        <v>227</v>
      </c>
      <c r="B187" s="24" t="s">
        <v>103</v>
      </c>
      <c r="C187" s="14">
        <f>651038+12330</f>
        <v>663368</v>
      </c>
      <c r="D187" s="4"/>
      <c r="E187" s="4"/>
      <c r="F187" s="14"/>
      <c r="G187" s="4"/>
      <c r="H187" s="4"/>
      <c r="I187" s="4"/>
      <c r="J187" s="4"/>
      <c r="K187" s="4"/>
      <c r="L187" s="4"/>
      <c r="M187" s="4"/>
      <c r="N187" s="14"/>
      <c r="O187" s="14"/>
      <c r="P187" s="14"/>
      <c r="Q187" s="14"/>
      <c r="R187" s="14"/>
      <c r="S187" s="60">
        <f t="shared" si="24"/>
        <v>663368</v>
      </c>
    </row>
    <row r="188" spans="1:19" ht="15">
      <c r="A188" s="63" t="s">
        <v>228</v>
      </c>
      <c r="B188" s="24" t="s">
        <v>104</v>
      </c>
      <c r="C188" s="14">
        <f>742565+14630</f>
        <v>757195</v>
      </c>
      <c r="D188" s="4"/>
      <c r="E188" s="4"/>
      <c r="F188" s="14"/>
      <c r="G188" s="4"/>
      <c r="H188" s="4"/>
      <c r="I188" s="4"/>
      <c r="J188" s="4"/>
      <c r="K188" s="4"/>
      <c r="L188" s="4"/>
      <c r="M188" s="4"/>
      <c r="N188" s="14"/>
      <c r="O188" s="14"/>
      <c r="P188" s="14"/>
      <c r="Q188" s="14"/>
      <c r="R188" s="14"/>
      <c r="S188" s="60">
        <f t="shared" si="24"/>
        <v>757195</v>
      </c>
    </row>
    <row r="189" spans="1:19" ht="15">
      <c r="A189" s="63" t="s">
        <v>229</v>
      </c>
      <c r="B189" s="24" t="s">
        <v>105</v>
      </c>
      <c r="C189" s="14">
        <f>409914+6375</f>
        <v>416289</v>
      </c>
      <c r="D189" s="4"/>
      <c r="E189" s="4"/>
      <c r="F189" s="14"/>
      <c r="G189" s="4"/>
      <c r="H189" s="4"/>
      <c r="I189" s="4"/>
      <c r="J189" s="4"/>
      <c r="K189" s="4"/>
      <c r="L189" s="4"/>
      <c r="M189" s="4"/>
      <c r="N189" s="14"/>
      <c r="O189" s="14"/>
      <c r="P189" s="14"/>
      <c r="Q189" s="14"/>
      <c r="R189" s="14"/>
      <c r="S189" s="60">
        <f t="shared" si="24"/>
        <v>416289</v>
      </c>
    </row>
    <row r="190" spans="1:19" ht="15">
      <c r="A190" s="63" t="s">
        <v>230</v>
      </c>
      <c r="B190" s="24" t="s">
        <v>125</v>
      </c>
      <c r="C190" s="14">
        <f>783618+15395</f>
        <v>799013</v>
      </c>
      <c r="D190" s="4"/>
      <c r="E190" s="4"/>
      <c r="F190" s="14"/>
      <c r="G190" s="4"/>
      <c r="H190" s="4"/>
      <c r="I190" s="4"/>
      <c r="J190" s="4"/>
      <c r="K190" s="4"/>
      <c r="L190" s="4"/>
      <c r="M190" s="4"/>
      <c r="N190" s="14"/>
      <c r="O190" s="14"/>
      <c r="P190" s="14"/>
      <c r="Q190" s="14"/>
      <c r="R190" s="14"/>
      <c r="S190" s="60">
        <f t="shared" si="24"/>
        <v>799013</v>
      </c>
    </row>
    <row r="191" spans="1:19" ht="15">
      <c r="A191" s="63" t="s">
        <v>231</v>
      </c>
      <c r="B191" s="24" t="s">
        <v>144</v>
      </c>
      <c r="C191" s="14">
        <f>408541+7340</f>
        <v>415881</v>
      </c>
      <c r="D191" s="14"/>
      <c r="E191" s="14"/>
      <c r="F191" s="14"/>
      <c r="G191" s="4"/>
      <c r="H191" s="4"/>
      <c r="I191" s="4"/>
      <c r="J191" s="14"/>
      <c r="K191" s="14"/>
      <c r="L191" s="14"/>
      <c r="M191" s="14"/>
      <c r="N191" s="14"/>
      <c r="O191" s="14"/>
      <c r="P191" s="14"/>
      <c r="Q191" s="14"/>
      <c r="R191" s="14"/>
      <c r="S191" s="60">
        <f t="shared" si="24"/>
        <v>415881</v>
      </c>
    </row>
    <row r="192" spans="1:19" ht="15">
      <c r="A192" s="63" t="s">
        <v>232</v>
      </c>
      <c r="B192" s="24" t="s">
        <v>145</v>
      </c>
      <c r="C192" s="14"/>
      <c r="D192" s="14"/>
      <c r="E192" s="14"/>
      <c r="F192" s="14"/>
      <c r="G192" s="4"/>
      <c r="H192" s="4"/>
      <c r="I192" s="4"/>
      <c r="J192" s="4">
        <v>382672</v>
      </c>
      <c r="K192" s="14"/>
      <c r="L192" s="14"/>
      <c r="M192" s="14"/>
      <c r="N192" s="14"/>
      <c r="O192" s="14"/>
      <c r="P192" s="14"/>
      <c r="Q192" s="14"/>
      <c r="R192" s="14"/>
      <c r="S192" s="60">
        <f t="shared" si="24"/>
        <v>382672</v>
      </c>
    </row>
    <row r="193" spans="1:19" ht="15">
      <c r="A193" s="97" t="s">
        <v>100</v>
      </c>
      <c r="B193" s="24" t="s">
        <v>560</v>
      </c>
      <c r="C193" s="14"/>
      <c r="D193" s="14"/>
      <c r="E193" s="14"/>
      <c r="F193" s="14"/>
      <c r="G193" s="4"/>
      <c r="H193" s="4"/>
      <c r="I193" s="4"/>
      <c r="J193" s="14"/>
      <c r="K193" s="14"/>
      <c r="L193" s="14"/>
      <c r="M193" s="14"/>
      <c r="N193" s="14"/>
      <c r="O193" s="14"/>
      <c r="P193" s="14"/>
      <c r="Q193" s="14">
        <v>1257459</v>
      </c>
      <c r="R193" s="14"/>
      <c r="S193" s="60">
        <f t="shared" si="24"/>
        <v>1257459</v>
      </c>
    </row>
    <row r="194" spans="1:19" ht="15">
      <c r="A194" s="97" t="s">
        <v>100</v>
      </c>
      <c r="B194" s="24" t="s">
        <v>561</v>
      </c>
      <c r="C194" s="14"/>
      <c r="D194" s="14"/>
      <c r="E194" s="14"/>
      <c r="F194" s="14"/>
      <c r="G194" s="4"/>
      <c r="H194" s="4"/>
      <c r="I194" s="4"/>
      <c r="J194" s="14"/>
      <c r="K194" s="14"/>
      <c r="L194" s="14"/>
      <c r="M194" s="14"/>
      <c r="N194" s="14"/>
      <c r="O194" s="14"/>
      <c r="P194" s="14"/>
      <c r="Q194" s="14">
        <v>767044</v>
      </c>
      <c r="R194" s="14"/>
      <c r="S194" s="60">
        <f t="shared" si="24"/>
        <v>767044</v>
      </c>
    </row>
    <row r="195" spans="1:19" ht="15">
      <c r="A195" s="97" t="s">
        <v>100</v>
      </c>
      <c r="B195" s="24" t="s">
        <v>562</v>
      </c>
      <c r="C195" s="14"/>
      <c r="D195" s="14"/>
      <c r="E195" s="14"/>
      <c r="F195" s="14"/>
      <c r="G195" s="4"/>
      <c r="H195" s="4"/>
      <c r="I195" s="4"/>
      <c r="J195" s="14"/>
      <c r="K195" s="14"/>
      <c r="L195" s="14"/>
      <c r="M195" s="14"/>
      <c r="N195" s="14"/>
      <c r="O195" s="14"/>
      <c r="P195" s="14"/>
      <c r="Q195" s="14">
        <v>385223</v>
      </c>
      <c r="R195" s="14"/>
      <c r="S195" s="60">
        <f t="shared" si="24"/>
        <v>385223</v>
      </c>
    </row>
    <row r="196" spans="1:19" ht="15">
      <c r="A196" s="97" t="s">
        <v>100</v>
      </c>
      <c r="B196" s="24" t="s">
        <v>563</v>
      </c>
      <c r="C196" s="14"/>
      <c r="D196" s="14"/>
      <c r="E196" s="14"/>
      <c r="F196" s="14"/>
      <c r="G196" s="4"/>
      <c r="H196" s="4"/>
      <c r="I196" s="4"/>
      <c r="J196" s="14"/>
      <c r="K196" s="14"/>
      <c r="L196" s="14"/>
      <c r="M196" s="14"/>
      <c r="N196" s="14"/>
      <c r="O196" s="14">
        <v>780898</v>
      </c>
      <c r="P196" s="14"/>
      <c r="Q196" s="14"/>
      <c r="R196" s="14"/>
      <c r="S196" s="60">
        <f t="shared" si="24"/>
        <v>780898</v>
      </c>
    </row>
    <row r="197" spans="1:19" ht="15">
      <c r="A197" s="97" t="s">
        <v>100</v>
      </c>
      <c r="B197" s="24" t="s">
        <v>564</v>
      </c>
      <c r="C197" s="14"/>
      <c r="D197" s="14"/>
      <c r="E197" s="14"/>
      <c r="F197" s="14"/>
      <c r="G197" s="4"/>
      <c r="H197" s="4"/>
      <c r="I197" s="4"/>
      <c r="J197" s="14"/>
      <c r="K197" s="14"/>
      <c r="L197" s="14"/>
      <c r="M197" s="14"/>
      <c r="N197" s="14"/>
      <c r="O197" s="14">
        <v>372834</v>
      </c>
      <c r="P197" s="14"/>
      <c r="Q197" s="14"/>
      <c r="R197" s="14"/>
      <c r="S197" s="60">
        <f t="shared" si="24"/>
        <v>372834</v>
      </c>
    </row>
    <row r="198" spans="1:19" ht="15">
      <c r="A198" s="97" t="s">
        <v>100</v>
      </c>
      <c r="B198" s="24" t="s">
        <v>565</v>
      </c>
      <c r="C198" s="14"/>
      <c r="D198" s="14"/>
      <c r="E198" s="14"/>
      <c r="F198" s="14"/>
      <c r="G198" s="4"/>
      <c r="H198" s="4"/>
      <c r="I198" s="4"/>
      <c r="J198" s="14"/>
      <c r="K198" s="14"/>
      <c r="L198" s="14"/>
      <c r="M198" s="14"/>
      <c r="N198" s="14"/>
      <c r="O198" s="14">
        <v>440139</v>
      </c>
      <c r="P198" s="14"/>
      <c r="Q198" s="14"/>
      <c r="R198" s="14"/>
      <c r="S198" s="60">
        <f t="shared" si="24"/>
        <v>440139</v>
      </c>
    </row>
    <row r="199" spans="1:19" ht="15">
      <c r="A199" s="97" t="s">
        <v>100</v>
      </c>
      <c r="B199" s="24" t="s">
        <v>595</v>
      </c>
      <c r="C199" s="14"/>
      <c r="D199" s="14"/>
      <c r="E199" s="14"/>
      <c r="F199" s="14"/>
      <c r="G199" s="4"/>
      <c r="H199" s="4"/>
      <c r="I199" s="4"/>
      <c r="J199" s="14"/>
      <c r="K199" s="14"/>
      <c r="L199" s="14"/>
      <c r="M199" s="14"/>
      <c r="N199" s="14"/>
      <c r="O199" s="14"/>
      <c r="P199" s="14">
        <v>1172727</v>
      </c>
      <c r="Q199" s="14"/>
      <c r="R199" s="14"/>
      <c r="S199" s="60">
        <f t="shared" si="24"/>
        <v>1172727</v>
      </c>
    </row>
    <row r="200" spans="1:19" ht="15">
      <c r="A200" s="97" t="s">
        <v>100</v>
      </c>
      <c r="B200" s="24" t="s">
        <v>594</v>
      </c>
      <c r="C200" s="14"/>
      <c r="D200" s="14"/>
      <c r="E200" s="14"/>
      <c r="F200" s="14"/>
      <c r="G200" s="4"/>
      <c r="H200" s="4"/>
      <c r="I200" s="4"/>
      <c r="J200" s="14"/>
      <c r="K200" s="14"/>
      <c r="L200" s="14"/>
      <c r="M200" s="14"/>
      <c r="N200" s="14"/>
      <c r="O200" s="14"/>
      <c r="P200" s="14">
        <v>920866</v>
      </c>
      <c r="Q200" s="14"/>
      <c r="R200" s="14"/>
      <c r="S200" s="60">
        <f t="shared" si="24"/>
        <v>920866</v>
      </c>
    </row>
    <row r="201" spans="1:19" ht="30">
      <c r="A201" s="63" t="s">
        <v>233</v>
      </c>
      <c r="B201" s="24" t="s">
        <v>424</v>
      </c>
      <c r="C201" s="14">
        <v>221000</v>
      </c>
      <c r="D201" s="14"/>
      <c r="E201" s="14"/>
      <c r="F201" s="14"/>
      <c r="G201" s="4"/>
      <c r="H201" s="4"/>
      <c r="I201" s="4"/>
      <c r="J201" s="14"/>
      <c r="K201" s="14"/>
      <c r="L201" s="14"/>
      <c r="M201" s="14"/>
      <c r="N201" s="14"/>
      <c r="O201" s="4"/>
      <c r="P201" s="14"/>
      <c r="Q201" s="14">
        <v>325161</v>
      </c>
      <c r="R201" s="14"/>
      <c r="S201" s="60">
        <f t="shared" si="24"/>
        <v>546161</v>
      </c>
    </row>
    <row r="202" spans="1:19" ht="30">
      <c r="A202" s="97" t="s">
        <v>100</v>
      </c>
      <c r="B202" s="24" t="s">
        <v>634</v>
      </c>
      <c r="C202" s="14"/>
      <c r="D202" s="14"/>
      <c r="E202" s="14"/>
      <c r="F202" s="14"/>
      <c r="G202" s="4"/>
      <c r="H202" s="14"/>
      <c r="I202" s="14"/>
      <c r="J202" s="14"/>
      <c r="K202" s="14"/>
      <c r="L202" s="14"/>
      <c r="M202" s="14"/>
      <c r="N202" s="14"/>
      <c r="O202" s="14"/>
      <c r="P202" s="14"/>
      <c r="Q202" s="14">
        <v>63000</v>
      </c>
      <c r="R202" s="14"/>
      <c r="S202" s="60">
        <f t="shared" si="24"/>
        <v>63000</v>
      </c>
    </row>
    <row r="203" spans="1:19" ht="15">
      <c r="A203" s="61" t="s">
        <v>106</v>
      </c>
      <c r="B203" s="62" t="s">
        <v>234</v>
      </c>
      <c r="C203" s="14">
        <f>1058476+250+34616</f>
        <v>1093342</v>
      </c>
      <c r="D203" s="14"/>
      <c r="E203" s="14"/>
      <c r="F203" s="14"/>
      <c r="G203" s="133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60">
        <f t="shared" si="24"/>
        <v>1093342</v>
      </c>
    </row>
    <row r="204" spans="1:19" ht="29.25">
      <c r="A204" s="61" t="s">
        <v>148</v>
      </c>
      <c r="B204" s="62" t="s">
        <v>235</v>
      </c>
      <c r="C204" s="20">
        <f aca="true" t="shared" si="33" ref="C204:P204">SUM(C205:C228)</f>
        <v>5103471</v>
      </c>
      <c r="D204" s="20">
        <f t="shared" si="33"/>
        <v>0</v>
      </c>
      <c r="E204" s="20">
        <f t="shared" si="33"/>
        <v>0</v>
      </c>
      <c r="F204" s="20">
        <f t="shared" si="33"/>
        <v>0</v>
      </c>
      <c r="G204" s="20">
        <f t="shared" si="33"/>
        <v>977519</v>
      </c>
      <c r="H204" s="20">
        <f t="shared" si="33"/>
        <v>0</v>
      </c>
      <c r="I204" s="20">
        <f t="shared" si="33"/>
        <v>411612</v>
      </c>
      <c r="J204" s="20">
        <f t="shared" si="33"/>
        <v>522077</v>
      </c>
      <c r="K204" s="20">
        <f t="shared" si="33"/>
        <v>0</v>
      </c>
      <c r="L204" s="20">
        <f t="shared" si="33"/>
        <v>45197</v>
      </c>
      <c r="M204" s="20">
        <f t="shared" si="33"/>
        <v>22960</v>
      </c>
      <c r="N204" s="20">
        <f t="shared" si="33"/>
        <v>600401</v>
      </c>
      <c r="O204" s="20">
        <f t="shared" si="33"/>
        <v>914027</v>
      </c>
      <c r="P204" s="20">
        <f t="shared" si="33"/>
        <v>3862908</v>
      </c>
      <c r="Q204" s="20">
        <f>SUM(Q205:Q228)</f>
        <v>3256585</v>
      </c>
      <c r="R204" s="20">
        <f>SUM(R205:R228)</f>
        <v>0</v>
      </c>
      <c r="S204" s="60">
        <f t="shared" si="24"/>
        <v>15716757</v>
      </c>
    </row>
    <row r="205" spans="1:19" ht="15">
      <c r="A205" s="63" t="s">
        <v>236</v>
      </c>
      <c r="B205" s="24" t="s">
        <v>107</v>
      </c>
      <c r="C205" s="14">
        <f>2073545+64749+70947</f>
        <v>2209241</v>
      </c>
      <c r="D205" s="4"/>
      <c r="E205" s="4"/>
      <c r="F205" s="14"/>
      <c r="G205" s="4"/>
      <c r="H205" s="4"/>
      <c r="I205" s="4"/>
      <c r="J205" s="4"/>
      <c r="K205" s="4"/>
      <c r="L205" s="4"/>
      <c r="M205" s="4"/>
      <c r="N205" s="14"/>
      <c r="O205" s="14"/>
      <c r="P205" s="14"/>
      <c r="Q205" s="14"/>
      <c r="R205" s="14"/>
      <c r="S205" s="60">
        <f t="shared" si="24"/>
        <v>2209241</v>
      </c>
    </row>
    <row r="206" spans="1:19" ht="15">
      <c r="A206" s="63" t="s">
        <v>237</v>
      </c>
      <c r="B206" s="24" t="s">
        <v>238</v>
      </c>
      <c r="C206" s="14">
        <f>1081645+1350+31825</f>
        <v>1114820</v>
      </c>
      <c r="D206" s="4"/>
      <c r="E206" s="4"/>
      <c r="F206" s="14"/>
      <c r="G206" s="4"/>
      <c r="H206" s="4"/>
      <c r="I206" s="4"/>
      <c r="J206" s="4"/>
      <c r="K206" s="4"/>
      <c r="L206" s="4"/>
      <c r="M206" s="4"/>
      <c r="N206" s="14"/>
      <c r="O206" s="14"/>
      <c r="P206" s="14"/>
      <c r="Q206" s="14"/>
      <c r="R206" s="14"/>
      <c r="S206" s="60">
        <f t="shared" si="24"/>
        <v>1114820</v>
      </c>
    </row>
    <row r="207" spans="1:19" ht="15">
      <c r="A207" s="63" t="s">
        <v>239</v>
      </c>
      <c r="B207" s="24" t="s">
        <v>108</v>
      </c>
      <c r="C207" s="14">
        <f>1046242+800+31296</f>
        <v>1078338</v>
      </c>
      <c r="D207" s="4"/>
      <c r="E207" s="4"/>
      <c r="F207" s="14"/>
      <c r="G207" s="4"/>
      <c r="H207" s="4"/>
      <c r="I207" s="4"/>
      <c r="J207" s="4"/>
      <c r="K207" s="4"/>
      <c r="L207" s="4"/>
      <c r="M207" s="4"/>
      <c r="N207" s="14"/>
      <c r="O207" s="14"/>
      <c r="P207" s="14"/>
      <c r="Q207" s="14"/>
      <c r="R207" s="14"/>
      <c r="S207" s="60">
        <f t="shared" si="24"/>
        <v>1078338</v>
      </c>
    </row>
    <row r="208" spans="1:19" ht="15">
      <c r="A208" s="63" t="s">
        <v>240</v>
      </c>
      <c r="B208" s="24" t="s">
        <v>109</v>
      </c>
      <c r="C208" s="14">
        <f>420256+170+11164</f>
        <v>431590</v>
      </c>
      <c r="D208" s="4"/>
      <c r="E208" s="4"/>
      <c r="F208" s="14"/>
      <c r="G208" s="4"/>
      <c r="H208" s="4"/>
      <c r="I208" s="4"/>
      <c r="J208" s="4"/>
      <c r="K208" s="4"/>
      <c r="L208" s="4"/>
      <c r="M208" s="4"/>
      <c r="N208" s="14"/>
      <c r="O208" s="14"/>
      <c r="P208" s="14"/>
      <c r="Q208" s="14"/>
      <c r="R208" s="14"/>
      <c r="S208" s="60">
        <f t="shared" si="24"/>
        <v>431590</v>
      </c>
    </row>
    <row r="209" spans="1:19" ht="15">
      <c r="A209" s="63" t="s">
        <v>241</v>
      </c>
      <c r="B209" s="24" t="s">
        <v>146</v>
      </c>
      <c r="C209" s="14"/>
      <c r="D209" s="4"/>
      <c r="E209" s="4"/>
      <c r="F209" s="14"/>
      <c r="G209" s="4"/>
      <c r="H209" s="4"/>
      <c r="I209" s="4">
        <f>404894+1000+20552-14834</f>
        <v>411612</v>
      </c>
      <c r="J209" s="14"/>
      <c r="K209" s="14"/>
      <c r="L209" s="14"/>
      <c r="M209" s="14"/>
      <c r="N209" s="14"/>
      <c r="O209" s="14"/>
      <c r="P209" s="14"/>
      <c r="Q209" s="14"/>
      <c r="R209" s="14"/>
      <c r="S209" s="60">
        <f aca="true" t="shared" si="34" ref="S209:S268">SUM(C209:R209)</f>
        <v>411612</v>
      </c>
    </row>
    <row r="210" spans="1:19" ht="15">
      <c r="A210" s="63" t="s">
        <v>242</v>
      </c>
      <c r="B210" s="24" t="s">
        <v>147</v>
      </c>
      <c r="C210" s="14"/>
      <c r="D210" s="4"/>
      <c r="E210" s="4"/>
      <c r="F210" s="14"/>
      <c r="G210" s="4"/>
      <c r="H210" s="4"/>
      <c r="I210" s="4"/>
      <c r="J210" s="4">
        <v>522077</v>
      </c>
      <c r="K210" s="14"/>
      <c r="L210" s="14"/>
      <c r="M210" s="14"/>
      <c r="N210" s="14"/>
      <c r="O210" s="14"/>
      <c r="P210" s="14"/>
      <c r="Q210" s="14"/>
      <c r="R210" s="14"/>
      <c r="S210" s="60">
        <f t="shared" si="34"/>
        <v>522077</v>
      </c>
    </row>
    <row r="211" spans="1:19" ht="15">
      <c r="A211" s="63" t="s">
        <v>243</v>
      </c>
      <c r="B211" s="24" t="s">
        <v>268</v>
      </c>
      <c r="C211" s="14"/>
      <c r="D211" s="4"/>
      <c r="E211" s="4"/>
      <c r="F211" s="14"/>
      <c r="G211" s="4"/>
      <c r="H211" s="4"/>
      <c r="I211" s="4"/>
      <c r="J211" s="14"/>
      <c r="K211" s="14"/>
      <c r="L211" s="14">
        <v>45197</v>
      </c>
      <c r="M211" s="98">
        <v>22960</v>
      </c>
      <c r="N211" s="69">
        <v>600401</v>
      </c>
      <c r="O211" s="98"/>
      <c r="P211" s="98"/>
      <c r="Q211" s="69"/>
      <c r="R211" s="14"/>
      <c r="S211" s="60">
        <f t="shared" si="34"/>
        <v>668558</v>
      </c>
    </row>
    <row r="212" spans="1:19" ht="15">
      <c r="A212" s="63" t="s">
        <v>244</v>
      </c>
      <c r="B212" s="24" t="s">
        <v>149</v>
      </c>
      <c r="C212" s="14"/>
      <c r="D212" s="4"/>
      <c r="E212" s="4"/>
      <c r="F212" s="14"/>
      <c r="G212" s="132">
        <f>947497+30022</f>
        <v>977519</v>
      </c>
      <c r="H212" s="4"/>
      <c r="I212" s="4"/>
      <c r="J212" s="14"/>
      <c r="K212" s="14"/>
      <c r="L212" s="14"/>
      <c r="M212" s="14"/>
      <c r="N212" s="14"/>
      <c r="O212" s="14"/>
      <c r="P212" s="14"/>
      <c r="Q212" s="14"/>
      <c r="R212" s="14"/>
      <c r="S212" s="60">
        <f t="shared" si="34"/>
        <v>977519</v>
      </c>
    </row>
    <row r="213" spans="1:19" ht="15">
      <c r="A213" s="97" t="s">
        <v>148</v>
      </c>
      <c r="B213" s="24" t="s">
        <v>566</v>
      </c>
      <c r="C213" s="14"/>
      <c r="D213" s="14"/>
      <c r="E213" s="14"/>
      <c r="F213" s="14"/>
      <c r="G213" s="132"/>
      <c r="H213" s="4"/>
      <c r="I213" s="4"/>
      <c r="J213" s="14"/>
      <c r="K213" s="14"/>
      <c r="L213" s="14"/>
      <c r="M213" s="14"/>
      <c r="N213" s="14"/>
      <c r="O213" s="14">
        <v>495483</v>
      </c>
      <c r="P213" s="14"/>
      <c r="Q213" s="14"/>
      <c r="R213" s="14"/>
      <c r="S213" s="60">
        <f t="shared" si="34"/>
        <v>495483</v>
      </c>
    </row>
    <row r="214" spans="1:19" ht="15">
      <c r="A214" s="97" t="s">
        <v>148</v>
      </c>
      <c r="B214" s="24" t="s">
        <v>567</v>
      </c>
      <c r="C214" s="14"/>
      <c r="D214" s="14"/>
      <c r="E214" s="14"/>
      <c r="F214" s="14"/>
      <c r="G214" s="132"/>
      <c r="H214" s="4"/>
      <c r="I214" s="4"/>
      <c r="J214" s="14"/>
      <c r="K214" s="14"/>
      <c r="L214" s="14"/>
      <c r="M214" s="14"/>
      <c r="N214" s="14"/>
      <c r="O214" s="14">
        <v>396287</v>
      </c>
      <c r="P214" s="14"/>
      <c r="Q214" s="14"/>
      <c r="R214" s="14"/>
      <c r="S214" s="60">
        <f t="shared" si="34"/>
        <v>396287</v>
      </c>
    </row>
    <row r="215" spans="1:19" ht="30">
      <c r="A215" s="97" t="s">
        <v>148</v>
      </c>
      <c r="B215" s="8" t="s">
        <v>568</v>
      </c>
      <c r="C215" s="14"/>
      <c r="D215" s="14"/>
      <c r="E215" s="14"/>
      <c r="F215" s="14"/>
      <c r="G215" s="132"/>
      <c r="H215" s="4"/>
      <c r="I215" s="4"/>
      <c r="J215" s="14"/>
      <c r="K215" s="14"/>
      <c r="L215" s="14"/>
      <c r="M215" s="14"/>
      <c r="N215" s="14"/>
      <c r="O215" s="14">
        <v>10085</v>
      </c>
      <c r="P215" s="14"/>
      <c r="Q215" s="14"/>
      <c r="R215" s="14"/>
      <c r="S215" s="60">
        <f t="shared" si="34"/>
        <v>10085</v>
      </c>
    </row>
    <row r="216" spans="1:19" ht="30">
      <c r="A216" s="97" t="s">
        <v>148</v>
      </c>
      <c r="B216" s="8" t="s">
        <v>569</v>
      </c>
      <c r="C216" s="14"/>
      <c r="D216" s="14"/>
      <c r="E216" s="14"/>
      <c r="F216" s="14"/>
      <c r="G216" s="132"/>
      <c r="H216" s="4"/>
      <c r="I216" s="4"/>
      <c r="J216" s="14"/>
      <c r="K216" s="14"/>
      <c r="L216" s="14"/>
      <c r="M216" s="14"/>
      <c r="N216" s="14"/>
      <c r="O216" s="14">
        <v>12172</v>
      </c>
      <c r="P216" s="14"/>
      <c r="Q216" s="14"/>
      <c r="R216" s="14"/>
      <c r="S216" s="60">
        <f t="shared" si="34"/>
        <v>12172</v>
      </c>
    </row>
    <row r="217" spans="1:19" ht="15">
      <c r="A217" s="97" t="s">
        <v>148</v>
      </c>
      <c r="B217" s="24" t="s">
        <v>596</v>
      </c>
      <c r="C217" s="14"/>
      <c r="D217" s="14"/>
      <c r="E217" s="14"/>
      <c r="F217" s="14"/>
      <c r="G217" s="132"/>
      <c r="H217" s="4"/>
      <c r="I217" s="4"/>
      <c r="J217" s="14"/>
      <c r="K217" s="14"/>
      <c r="L217" s="14"/>
      <c r="M217" s="14"/>
      <c r="N217" s="14"/>
      <c r="O217" s="14"/>
      <c r="P217" s="14">
        <v>979410</v>
      </c>
      <c r="Q217" s="14"/>
      <c r="R217" s="14"/>
      <c r="S217" s="60">
        <f t="shared" si="34"/>
        <v>979410</v>
      </c>
    </row>
    <row r="218" spans="1:19" ht="15">
      <c r="A218" s="97" t="s">
        <v>148</v>
      </c>
      <c r="B218" s="24" t="s">
        <v>597</v>
      </c>
      <c r="C218" s="14"/>
      <c r="D218" s="14"/>
      <c r="E218" s="14"/>
      <c r="F218" s="14"/>
      <c r="G218" s="132"/>
      <c r="H218" s="4"/>
      <c r="I218" s="4"/>
      <c r="J218" s="14"/>
      <c r="K218" s="14"/>
      <c r="L218" s="14"/>
      <c r="M218" s="14"/>
      <c r="N218" s="14"/>
      <c r="O218" s="14"/>
      <c r="P218" s="14">
        <v>495544</v>
      </c>
      <c r="Q218" s="14"/>
      <c r="R218" s="14"/>
      <c r="S218" s="60">
        <f t="shared" si="34"/>
        <v>495544</v>
      </c>
    </row>
    <row r="219" spans="1:19" ht="15">
      <c r="A219" s="97" t="s">
        <v>148</v>
      </c>
      <c r="B219" s="24" t="s">
        <v>598</v>
      </c>
      <c r="C219" s="14"/>
      <c r="D219" s="14"/>
      <c r="E219" s="14"/>
      <c r="F219" s="14"/>
      <c r="G219" s="132"/>
      <c r="H219" s="4"/>
      <c r="I219" s="4"/>
      <c r="J219" s="14"/>
      <c r="K219" s="14"/>
      <c r="L219" s="14"/>
      <c r="M219" s="14"/>
      <c r="N219" s="14"/>
      <c r="O219" s="14"/>
      <c r="P219" s="14">
        <v>753197</v>
      </c>
      <c r="Q219" s="14"/>
      <c r="R219" s="14"/>
      <c r="S219" s="60">
        <f t="shared" si="34"/>
        <v>753197</v>
      </c>
    </row>
    <row r="220" spans="1:19" ht="15">
      <c r="A220" s="97" t="s">
        <v>148</v>
      </c>
      <c r="B220" s="24" t="s">
        <v>599</v>
      </c>
      <c r="C220" s="14"/>
      <c r="D220" s="14"/>
      <c r="E220" s="14"/>
      <c r="F220" s="14"/>
      <c r="G220" s="132"/>
      <c r="H220" s="4"/>
      <c r="I220" s="4"/>
      <c r="J220" s="14"/>
      <c r="K220" s="14"/>
      <c r="L220" s="14"/>
      <c r="M220" s="14"/>
      <c r="N220" s="14"/>
      <c r="O220" s="14"/>
      <c r="P220" s="14">
        <v>432685</v>
      </c>
      <c r="Q220" s="14"/>
      <c r="R220" s="14"/>
      <c r="S220" s="60">
        <f t="shared" si="34"/>
        <v>432685</v>
      </c>
    </row>
    <row r="221" spans="1:19" ht="15">
      <c r="A221" s="97" t="s">
        <v>148</v>
      </c>
      <c r="B221" s="24" t="s">
        <v>600</v>
      </c>
      <c r="C221" s="14"/>
      <c r="D221" s="14"/>
      <c r="E221" s="14"/>
      <c r="F221" s="14"/>
      <c r="G221" s="132"/>
      <c r="H221" s="4"/>
      <c r="I221" s="4"/>
      <c r="J221" s="14"/>
      <c r="K221" s="14"/>
      <c r="L221" s="14"/>
      <c r="M221" s="14"/>
      <c r="N221" s="14"/>
      <c r="O221" s="14"/>
      <c r="P221" s="14">
        <v>1121141</v>
      </c>
      <c r="Q221" s="14"/>
      <c r="R221" s="14"/>
      <c r="S221" s="60">
        <f t="shared" si="34"/>
        <v>1121141</v>
      </c>
    </row>
    <row r="222" spans="1:19" ht="34.5" customHeight="1">
      <c r="A222" s="97" t="s">
        <v>148</v>
      </c>
      <c r="B222" s="147" t="s">
        <v>601</v>
      </c>
      <c r="C222" s="14"/>
      <c r="D222" s="14"/>
      <c r="E222" s="14"/>
      <c r="F222" s="14"/>
      <c r="G222" s="132"/>
      <c r="H222" s="4"/>
      <c r="I222" s="4"/>
      <c r="J222" s="14"/>
      <c r="K222" s="14"/>
      <c r="L222" s="14"/>
      <c r="M222" s="14"/>
      <c r="N222" s="14"/>
      <c r="O222" s="14"/>
      <c r="P222" s="14">
        <v>63713</v>
      </c>
      <c r="Q222" s="14"/>
      <c r="R222" s="14"/>
      <c r="S222" s="60">
        <f t="shared" si="34"/>
        <v>63713</v>
      </c>
    </row>
    <row r="223" spans="1:19" ht="45">
      <c r="A223" s="97" t="s">
        <v>148</v>
      </c>
      <c r="B223" s="147" t="s">
        <v>602</v>
      </c>
      <c r="C223" s="14"/>
      <c r="D223" s="14"/>
      <c r="E223" s="14"/>
      <c r="F223" s="14"/>
      <c r="G223" s="132"/>
      <c r="H223" s="4"/>
      <c r="I223" s="4"/>
      <c r="J223" s="14"/>
      <c r="K223" s="14"/>
      <c r="L223" s="14"/>
      <c r="M223" s="14"/>
      <c r="N223" s="14"/>
      <c r="O223" s="14"/>
      <c r="P223" s="14">
        <v>17218</v>
      </c>
      <c r="Q223" s="14"/>
      <c r="R223" s="14"/>
      <c r="S223" s="60">
        <f t="shared" si="34"/>
        <v>17218</v>
      </c>
    </row>
    <row r="224" spans="1:19" ht="15">
      <c r="A224" s="97" t="s">
        <v>148</v>
      </c>
      <c r="B224" s="24" t="s">
        <v>635</v>
      </c>
      <c r="C224" s="14"/>
      <c r="D224" s="14"/>
      <c r="E224" s="14"/>
      <c r="F224" s="14"/>
      <c r="G224" s="132"/>
      <c r="H224" s="4"/>
      <c r="I224" s="4"/>
      <c r="J224" s="14"/>
      <c r="K224" s="14"/>
      <c r="L224" s="14"/>
      <c r="M224" s="14"/>
      <c r="N224" s="14"/>
      <c r="O224" s="14"/>
      <c r="P224" s="14"/>
      <c r="Q224" s="14">
        <v>654521</v>
      </c>
      <c r="R224" s="14"/>
      <c r="S224" s="60">
        <f t="shared" si="34"/>
        <v>654521</v>
      </c>
    </row>
    <row r="225" spans="1:19" ht="15">
      <c r="A225" s="97" t="s">
        <v>148</v>
      </c>
      <c r="B225" s="24" t="s">
        <v>636</v>
      </c>
      <c r="C225" s="14"/>
      <c r="D225" s="14"/>
      <c r="E225" s="14"/>
      <c r="F225" s="14"/>
      <c r="G225" s="133"/>
      <c r="H225" s="4"/>
      <c r="I225" s="4"/>
      <c r="J225" s="14"/>
      <c r="K225" s="14"/>
      <c r="L225" s="14"/>
      <c r="M225" s="14"/>
      <c r="N225" s="14"/>
      <c r="O225" s="14"/>
      <c r="P225" s="14"/>
      <c r="Q225" s="14">
        <v>2448816</v>
      </c>
      <c r="R225" s="14"/>
      <c r="S225" s="60">
        <f t="shared" si="34"/>
        <v>2448816</v>
      </c>
    </row>
    <row r="226" spans="1:19" ht="30">
      <c r="A226" s="97" t="s">
        <v>148</v>
      </c>
      <c r="B226" s="147" t="s">
        <v>331</v>
      </c>
      <c r="C226" s="14"/>
      <c r="D226" s="14"/>
      <c r="E226" s="14"/>
      <c r="F226" s="14"/>
      <c r="G226" s="148"/>
      <c r="H226" s="14"/>
      <c r="I226" s="14"/>
      <c r="J226" s="14"/>
      <c r="K226" s="14"/>
      <c r="L226" s="14"/>
      <c r="M226" s="14"/>
      <c r="N226" s="14"/>
      <c r="O226" s="14"/>
      <c r="P226" s="14"/>
      <c r="Q226" s="14">
        <v>78145</v>
      </c>
      <c r="R226" s="14"/>
      <c r="S226" s="60">
        <f t="shared" si="34"/>
        <v>78145</v>
      </c>
    </row>
    <row r="227" spans="1:19" ht="15">
      <c r="A227" s="97" t="s">
        <v>148</v>
      </c>
      <c r="B227" s="24" t="s">
        <v>652</v>
      </c>
      <c r="C227" s="14"/>
      <c r="D227" s="14"/>
      <c r="E227" s="14"/>
      <c r="F227" s="14"/>
      <c r="G227" s="148"/>
      <c r="H227" s="14"/>
      <c r="I227" s="14"/>
      <c r="J227" s="14"/>
      <c r="K227" s="14"/>
      <c r="L227" s="14"/>
      <c r="M227" s="14"/>
      <c r="N227" s="14"/>
      <c r="O227" s="14"/>
      <c r="P227" s="14"/>
      <c r="Q227" s="14">
        <v>14547</v>
      </c>
      <c r="R227" s="14"/>
      <c r="S227" s="60">
        <f t="shared" si="34"/>
        <v>14547</v>
      </c>
    </row>
    <row r="228" spans="1:19" ht="31.5" customHeight="1">
      <c r="A228" s="97" t="s">
        <v>477</v>
      </c>
      <c r="B228" s="24" t="s">
        <v>476</v>
      </c>
      <c r="C228" s="14">
        <f>221000+59000-10518</f>
        <v>269482</v>
      </c>
      <c r="D228" s="14"/>
      <c r="E228" s="14"/>
      <c r="F228" s="14"/>
      <c r="G228" s="148"/>
      <c r="H228" s="14"/>
      <c r="I228" s="14"/>
      <c r="J228" s="14"/>
      <c r="K228" s="14"/>
      <c r="L228" s="14"/>
      <c r="M228" s="14"/>
      <c r="N228" s="14"/>
      <c r="O228" s="14"/>
      <c r="P228" s="14"/>
      <c r="Q228" s="14">
        <v>60556</v>
      </c>
      <c r="R228" s="14"/>
      <c r="S228" s="60">
        <f t="shared" si="34"/>
        <v>330038</v>
      </c>
    </row>
    <row r="229" spans="1:19" ht="15" customHeight="1">
      <c r="A229" s="61" t="s">
        <v>110</v>
      </c>
      <c r="B229" s="62" t="s">
        <v>111</v>
      </c>
      <c r="C229" s="20">
        <f aca="true" t="shared" si="35" ref="C229:R229">SUM(C230:C240)</f>
        <v>2347918</v>
      </c>
      <c r="D229" s="20">
        <f t="shared" si="35"/>
        <v>0</v>
      </c>
      <c r="E229" s="20">
        <f t="shared" si="35"/>
        <v>0</v>
      </c>
      <c r="F229" s="20">
        <f t="shared" si="35"/>
        <v>0</v>
      </c>
      <c r="G229" s="20">
        <f t="shared" si="35"/>
        <v>0</v>
      </c>
      <c r="H229" s="20">
        <f t="shared" si="35"/>
        <v>0</v>
      </c>
      <c r="I229" s="20">
        <f t="shared" si="35"/>
        <v>0</v>
      </c>
      <c r="J229" s="20">
        <f t="shared" si="35"/>
        <v>225826</v>
      </c>
      <c r="K229" s="20">
        <f t="shared" si="35"/>
        <v>0</v>
      </c>
      <c r="L229" s="20">
        <f t="shared" si="35"/>
        <v>0</v>
      </c>
      <c r="M229" s="20">
        <f t="shared" si="35"/>
        <v>0</v>
      </c>
      <c r="N229" s="20">
        <f t="shared" si="35"/>
        <v>0</v>
      </c>
      <c r="O229" s="20">
        <f t="shared" si="35"/>
        <v>173868</v>
      </c>
      <c r="P229" s="20">
        <f t="shared" si="35"/>
        <v>827755</v>
      </c>
      <c r="Q229" s="20">
        <f t="shared" si="35"/>
        <v>663636</v>
      </c>
      <c r="R229" s="20">
        <f t="shared" si="35"/>
        <v>0</v>
      </c>
      <c r="S229" s="60">
        <f t="shared" si="34"/>
        <v>4239003</v>
      </c>
    </row>
    <row r="230" spans="1:19" ht="15">
      <c r="A230" s="63" t="s">
        <v>245</v>
      </c>
      <c r="B230" s="24" t="s">
        <v>8</v>
      </c>
      <c r="C230" s="14">
        <f>701850+28871+5700</f>
        <v>736421</v>
      </c>
      <c r="D230" s="4"/>
      <c r="E230" s="4"/>
      <c r="F230" s="14"/>
      <c r="G230" s="4"/>
      <c r="H230" s="4"/>
      <c r="I230" s="4"/>
      <c r="J230" s="4"/>
      <c r="K230" s="4"/>
      <c r="L230" s="4"/>
      <c r="M230" s="4"/>
      <c r="N230" s="14"/>
      <c r="O230" s="14"/>
      <c r="P230" s="14"/>
      <c r="Q230" s="14"/>
      <c r="R230" s="14"/>
      <c r="S230" s="60">
        <f t="shared" si="34"/>
        <v>736421</v>
      </c>
    </row>
    <row r="231" spans="1:19" ht="15">
      <c r="A231" s="63" t="s">
        <v>246</v>
      </c>
      <c r="B231" s="24" t="s">
        <v>119</v>
      </c>
      <c r="C231" s="14">
        <f>311374+2973</f>
        <v>314347</v>
      </c>
      <c r="D231" s="4"/>
      <c r="E231" s="4"/>
      <c r="F231" s="14"/>
      <c r="G231" s="4"/>
      <c r="H231" s="4"/>
      <c r="I231" s="4"/>
      <c r="J231" s="4"/>
      <c r="K231" s="4"/>
      <c r="L231" s="4"/>
      <c r="M231" s="4"/>
      <c r="N231" s="14"/>
      <c r="O231" s="14"/>
      <c r="P231" s="14"/>
      <c r="Q231" s="14"/>
      <c r="R231" s="14"/>
      <c r="S231" s="60">
        <f t="shared" si="34"/>
        <v>314347</v>
      </c>
    </row>
    <row r="232" spans="1:19" ht="15">
      <c r="A232" s="63" t="s">
        <v>247</v>
      </c>
      <c r="B232" s="24" t="s">
        <v>150</v>
      </c>
      <c r="C232" s="4"/>
      <c r="D232" s="4"/>
      <c r="E232" s="4"/>
      <c r="F232" s="14"/>
      <c r="G232" s="4"/>
      <c r="H232" s="4"/>
      <c r="I232" s="4"/>
      <c r="J232" s="4">
        <v>225826</v>
      </c>
      <c r="K232" s="4"/>
      <c r="L232" s="4"/>
      <c r="M232" s="4"/>
      <c r="N232" s="14"/>
      <c r="O232" s="14"/>
      <c r="P232" s="14"/>
      <c r="Q232" s="14"/>
      <c r="R232" s="14"/>
      <c r="S232" s="60">
        <f t="shared" si="34"/>
        <v>225826</v>
      </c>
    </row>
    <row r="233" spans="1:19" ht="15">
      <c r="A233" s="63" t="s">
        <v>437</v>
      </c>
      <c r="B233" s="24" t="s">
        <v>438</v>
      </c>
      <c r="C233" s="4">
        <f>1279372+17778</f>
        <v>1297150</v>
      </c>
      <c r="D233" s="4"/>
      <c r="E233" s="4"/>
      <c r="F233" s="14"/>
      <c r="G233" s="4"/>
      <c r="H233" s="4"/>
      <c r="I233" s="4"/>
      <c r="J233" s="4"/>
      <c r="K233" s="4"/>
      <c r="L233" s="4"/>
      <c r="M233" s="4"/>
      <c r="N233" s="14"/>
      <c r="O233" s="14"/>
      <c r="P233" s="14"/>
      <c r="Q233" s="14"/>
      <c r="R233" s="14"/>
      <c r="S233" s="60">
        <f t="shared" si="34"/>
        <v>1297150</v>
      </c>
    </row>
    <row r="234" spans="1:19" ht="15">
      <c r="A234" s="149" t="s">
        <v>110</v>
      </c>
      <c r="B234" s="24" t="s">
        <v>570</v>
      </c>
      <c r="C234" s="4"/>
      <c r="D234" s="4"/>
      <c r="E234" s="4"/>
      <c r="F234" s="14"/>
      <c r="G234" s="4"/>
      <c r="H234" s="4"/>
      <c r="I234" s="4"/>
      <c r="J234" s="4"/>
      <c r="K234" s="4"/>
      <c r="L234" s="4"/>
      <c r="M234" s="4"/>
      <c r="N234" s="14"/>
      <c r="O234" s="14">
        <v>173868</v>
      </c>
      <c r="P234" s="14"/>
      <c r="Q234" s="14"/>
      <c r="R234" s="14"/>
      <c r="S234" s="60">
        <f t="shared" si="34"/>
        <v>173868</v>
      </c>
    </row>
    <row r="235" spans="1:19" ht="15">
      <c r="A235" s="149" t="s">
        <v>110</v>
      </c>
      <c r="B235" s="24" t="s">
        <v>603</v>
      </c>
      <c r="C235" s="4"/>
      <c r="D235" s="4"/>
      <c r="E235" s="4"/>
      <c r="F235" s="14"/>
      <c r="G235" s="4"/>
      <c r="H235" s="4"/>
      <c r="I235" s="4"/>
      <c r="J235" s="4"/>
      <c r="K235" s="4"/>
      <c r="L235" s="4"/>
      <c r="M235" s="4"/>
      <c r="N235" s="14"/>
      <c r="O235" s="14"/>
      <c r="P235" s="14">
        <v>359765</v>
      </c>
      <c r="Q235" s="14"/>
      <c r="R235" s="14"/>
      <c r="S235" s="60">
        <f t="shared" si="34"/>
        <v>359765</v>
      </c>
    </row>
    <row r="236" spans="1:19" ht="15">
      <c r="A236" s="149" t="s">
        <v>110</v>
      </c>
      <c r="B236" s="24" t="s">
        <v>604</v>
      </c>
      <c r="C236" s="4"/>
      <c r="D236" s="4"/>
      <c r="E236" s="4"/>
      <c r="F236" s="14"/>
      <c r="G236" s="4"/>
      <c r="H236" s="4"/>
      <c r="I236" s="4"/>
      <c r="J236" s="4"/>
      <c r="K236" s="4"/>
      <c r="L236" s="4"/>
      <c r="M236" s="4"/>
      <c r="N236" s="14"/>
      <c r="O236" s="14"/>
      <c r="P236" s="14">
        <v>453242</v>
      </c>
      <c r="Q236" s="14"/>
      <c r="R236" s="14"/>
      <c r="S236" s="60">
        <f t="shared" si="34"/>
        <v>453242</v>
      </c>
    </row>
    <row r="237" spans="1:19" ht="45">
      <c r="A237" s="149" t="s">
        <v>110</v>
      </c>
      <c r="B237" s="147" t="s">
        <v>605</v>
      </c>
      <c r="C237" s="4"/>
      <c r="D237" s="4"/>
      <c r="E237" s="4"/>
      <c r="F237" s="14"/>
      <c r="G237" s="4"/>
      <c r="H237" s="4"/>
      <c r="I237" s="4"/>
      <c r="J237" s="4"/>
      <c r="K237" s="4"/>
      <c r="L237" s="4"/>
      <c r="M237" s="4"/>
      <c r="N237" s="14"/>
      <c r="O237" s="14"/>
      <c r="P237" s="14">
        <v>14748</v>
      </c>
      <c r="Q237" s="14"/>
      <c r="R237" s="14"/>
      <c r="S237" s="60">
        <f t="shared" si="34"/>
        <v>14748</v>
      </c>
    </row>
    <row r="238" spans="1:19" ht="15">
      <c r="A238" s="149" t="s">
        <v>110</v>
      </c>
      <c r="B238" s="24" t="s">
        <v>637</v>
      </c>
      <c r="C238" s="4"/>
      <c r="D238" s="4"/>
      <c r="E238" s="4"/>
      <c r="F238" s="14"/>
      <c r="G238" s="4"/>
      <c r="H238" s="4"/>
      <c r="I238" s="4"/>
      <c r="J238" s="4"/>
      <c r="K238" s="4"/>
      <c r="L238" s="4"/>
      <c r="M238" s="4"/>
      <c r="N238" s="14"/>
      <c r="O238" s="14"/>
      <c r="P238" s="14"/>
      <c r="Q238" s="14">
        <v>179341</v>
      </c>
      <c r="R238" s="14"/>
      <c r="S238" s="60">
        <f t="shared" si="34"/>
        <v>179341</v>
      </c>
    </row>
    <row r="239" spans="1:19" ht="15">
      <c r="A239" s="149" t="s">
        <v>110</v>
      </c>
      <c r="B239" s="24" t="s">
        <v>638</v>
      </c>
      <c r="C239" s="4"/>
      <c r="D239" s="4"/>
      <c r="E239" s="4"/>
      <c r="F239" s="14"/>
      <c r="G239" s="4"/>
      <c r="H239" s="4"/>
      <c r="I239" s="4"/>
      <c r="J239" s="4"/>
      <c r="K239" s="4"/>
      <c r="L239" s="4"/>
      <c r="M239" s="4"/>
      <c r="N239" s="14"/>
      <c r="O239" s="14"/>
      <c r="P239" s="14"/>
      <c r="Q239" s="14">
        <v>475495</v>
      </c>
      <c r="R239" s="14"/>
      <c r="S239" s="60">
        <f t="shared" si="34"/>
        <v>475495</v>
      </c>
    </row>
    <row r="240" spans="1:19" ht="30">
      <c r="A240" s="149" t="s">
        <v>110</v>
      </c>
      <c r="B240" s="24" t="s">
        <v>639</v>
      </c>
      <c r="C240" s="4"/>
      <c r="D240" s="4"/>
      <c r="E240" s="4"/>
      <c r="F240" s="14"/>
      <c r="G240" s="4"/>
      <c r="H240" s="4"/>
      <c r="I240" s="4"/>
      <c r="J240" s="4"/>
      <c r="K240" s="4"/>
      <c r="L240" s="4"/>
      <c r="M240" s="4"/>
      <c r="N240" s="14"/>
      <c r="O240" s="14"/>
      <c r="P240" s="14"/>
      <c r="Q240" s="14">
        <v>8800</v>
      </c>
      <c r="R240" s="14"/>
      <c r="S240" s="60">
        <f t="shared" si="34"/>
        <v>8800</v>
      </c>
    </row>
    <row r="241" spans="1:19" ht="15">
      <c r="A241" s="86" t="s">
        <v>151</v>
      </c>
      <c r="B241" s="62" t="s">
        <v>152</v>
      </c>
      <c r="C241" s="21">
        <f>SUM(C242:C244)</f>
        <v>437232</v>
      </c>
      <c r="D241" s="4">
        <f aca="true" t="shared" si="36" ref="D241:M241">SUM(D242:D244)</f>
        <v>0</v>
      </c>
      <c r="E241" s="4">
        <f t="shared" si="36"/>
        <v>0</v>
      </c>
      <c r="F241" s="4">
        <f t="shared" si="36"/>
        <v>0</v>
      </c>
      <c r="G241" s="4">
        <f t="shared" si="36"/>
        <v>120426</v>
      </c>
      <c r="H241" s="4">
        <f t="shared" si="36"/>
        <v>0</v>
      </c>
      <c r="I241" s="4">
        <f t="shared" si="36"/>
        <v>0</v>
      </c>
      <c r="J241" s="4">
        <f t="shared" si="36"/>
        <v>94987</v>
      </c>
      <c r="K241" s="4">
        <f t="shared" si="36"/>
        <v>0</v>
      </c>
      <c r="L241" s="4">
        <f t="shared" si="36"/>
        <v>0</v>
      </c>
      <c r="M241" s="4">
        <f t="shared" si="36"/>
        <v>0</v>
      </c>
      <c r="N241" s="4">
        <f>SUM(N242:N244)</f>
        <v>0</v>
      </c>
      <c r="O241" s="4">
        <f>SUM(O242:O247)</f>
        <v>275817</v>
      </c>
      <c r="P241" s="4">
        <f>SUM(P242:P247)</f>
        <v>215836</v>
      </c>
      <c r="Q241" s="14">
        <f>SUM(Q242:Q244)</f>
        <v>0</v>
      </c>
      <c r="R241" s="14">
        <f>SUM(R242:R244)</f>
        <v>0</v>
      </c>
      <c r="S241" s="60">
        <f t="shared" si="34"/>
        <v>1144298</v>
      </c>
    </row>
    <row r="242" spans="1:19" ht="15">
      <c r="A242" s="63" t="s">
        <v>327</v>
      </c>
      <c r="B242" s="24" t="s">
        <v>323</v>
      </c>
      <c r="C242" s="14">
        <f>50000</f>
        <v>50000</v>
      </c>
      <c r="D242" s="14"/>
      <c r="E242" s="14"/>
      <c r="F242" s="14"/>
      <c r="G242" s="4">
        <v>120426</v>
      </c>
      <c r="H242" s="4"/>
      <c r="I242" s="4"/>
      <c r="J242" s="14">
        <v>90068</v>
      </c>
      <c r="K242" s="14"/>
      <c r="L242" s="14"/>
      <c r="M242" s="14"/>
      <c r="N242" s="14"/>
      <c r="O242" s="14"/>
      <c r="P242" s="14">
        <v>135000</v>
      </c>
      <c r="Q242" s="14"/>
      <c r="R242" s="14"/>
      <c r="S242" s="60">
        <f t="shared" si="34"/>
        <v>395494</v>
      </c>
    </row>
    <row r="243" spans="1:19" ht="15">
      <c r="A243" s="97" t="s">
        <v>433</v>
      </c>
      <c r="B243" s="24" t="s">
        <v>434</v>
      </c>
      <c r="C243" s="14">
        <v>302232</v>
      </c>
      <c r="D243" s="14"/>
      <c r="E243" s="14"/>
      <c r="F243" s="14"/>
      <c r="G243" s="4"/>
      <c r="H243" s="4"/>
      <c r="I243" s="4"/>
      <c r="J243" s="14"/>
      <c r="K243" s="14"/>
      <c r="L243" s="14"/>
      <c r="M243" s="14"/>
      <c r="N243" s="14"/>
      <c r="O243" s="14"/>
      <c r="P243" s="14"/>
      <c r="Q243" s="14"/>
      <c r="R243" s="14"/>
      <c r="S243" s="60">
        <f t="shared" si="34"/>
        <v>302232</v>
      </c>
    </row>
    <row r="244" spans="1:19" ht="15">
      <c r="A244" s="63" t="s">
        <v>328</v>
      </c>
      <c r="B244" s="24" t="s">
        <v>324</v>
      </c>
      <c r="C244" s="14">
        <v>85000</v>
      </c>
      <c r="D244" s="14"/>
      <c r="E244" s="14"/>
      <c r="F244" s="14"/>
      <c r="G244" s="4"/>
      <c r="H244" s="4"/>
      <c r="I244" s="4"/>
      <c r="J244" s="14">
        <v>4919</v>
      </c>
      <c r="K244" s="14"/>
      <c r="L244" s="14"/>
      <c r="M244" s="14"/>
      <c r="N244" s="14"/>
      <c r="O244" s="14"/>
      <c r="P244" s="14">
        <v>58418</v>
      </c>
      <c r="Q244" s="14"/>
      <c r="R244" s="14"/>
      <c r="S244" s="60">
        <f t="shared" si="34"/>
        <v>148337</v>
      </c>
    </row>
    <row r="245" spans="1:19" ht="15">
      <c r="A245" s="97" t="s">
        <v>151</v>
      </c>
      <c r="B245" s="24" t="s">
        <v>152</v>
      </c>
      <c r="C245" s="14"/>
      <c r="D245" s="14"/>
      <c r="E245" s="14"/>
      <c r="F245" s="14"/>
      <c r="G245" s="4"/>
      <c r="H245" s="4"/>
      <c r="I245" s="4"/>
      <c r="J245" s="14"/>
      <c r="K245" s="14"/>
      <c r="L245" s="14"/>
      <c r="M245" s="14"/>
      <c r="N245" s="14"/>
      <c r="O245" s="14">
        <v>275817</v>
      </c>
      <c r="P245" s="14"/>
      <c r="Q245" s="14"/>
      <c r="R245" s="14"/>
      <c r="S245" s="60">
        <f t="shared" si="34"/>
        <v>275817</v>
      </c>
    </row>
    <row r="246" spans="1:19" ht="15">
      <c r="A246" s="97" t="s">
        <v>151</v>
      </c>
      <c r="B246" s="24" t="s">
        <v>606</v>
      </c>
      <c r="C246" s="14"/>
      <c r="D246" s="14"/>
      <c r="E246" s="14"/>
      <c r="F246" s="14"/>
      <c r="G246" s="4"/>
      <c r="H246" s="4"/>
      <c r="I246" s="4"/>
      <c r="J246" s="14"/>
      <c r="K246" s="14"/>
      <c r="L246" s="14"/>
      <c r="M246" s="14"/>
      <c r="N246" s="14"/>
      <c r="O246" s="14"/>
      <c r="P246" s="14">
        <v>20418</v>
      </c>
      <c r="Q246" s="14"/>
      <c r="R246" s="14"/>
      <c r="S246" s="60">
        <f t="shared" si="34"/>
        <v>20418</v>
      </c>
    </row>
    <row r="247" spans="1:19" ht="30">
      <c r="A247" s="97" t="s">
        <v>151</v>
      </c>
      <c r="B247" s="24" t="s">
        <v>607</v>
      </c>
      <c r="C247" s="14"/>
      <c r="D247" s="14"/>
      <c r="E247" s="14"/>
      <c r="F247" s="14"/>
      <c r="G247" s="4"/>
      <c r="H247" s="4"/>
      <c r="I247" s="4"/>
      <c r="J247" s="14"/>
      <c r="K247" s="14"/>
      <c r="L247" s="14"/>
      <c r="M247" s="14"/>
      <c r="N247" s="14"/>
      <c r="O247" s="14"/>
      <c r="P247" s="14">
        <v>2000</v>
      </c>
      <c r="Q247" s="14"/>
      <c r="R247" s="14"/>
      <c r="S247" s="60">
        <f t="shared" si="34"/>
        <v>2000</v>
      </c>
    </row>
    <row r="248" spans="1:19" ht="21.75" customHeight="1">
      <c r="A248" s="61" t="s">
        <v>425</v>
      </c>
      <c r="B248" s="62" t="s">
        <v>426</v>
      </c>
      <c r="C248" s="20">
        <f>283758-5450+134886</f>
        <v>413194</v>
      </c>
      <c r="D248" s="20"/>
      <c r="E248" s="20"/>
      <c r="F248" s="20"/>
      <c r="G248" s="21"/>
      <c r="H248" s="21"/>
      <c r="I248" s="21"/>
      <c r="J248" s="20"/>
      <c r="K248" s="20"/>
      <c r="L248" s="20"/>
      <c r="M248" s="20"/>
      <c r="N248" s="20"/>
      <c r="O248" s="20"/>
      <c r="P248" s="20"/>
      <c r="Q248" s="20">
        <v>122891</v>
      </c>
      <c r="R248" s="20"/>
      <c r="S248" s="60">
        <f t="shared" si="34"/>
        <v>536085</v>
      </c>
    </row>
    <row r="249" spans="1:19" ht="30">
      <c r="A249" s="97" t="s">
        <v>425</v>
      </c>
      <c r="B249" s="24" t="s">
        <v>640</v>
      </c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1">
        <v>375000</v>
      </c>
      <c r="R249" s="150"/>
      <c r="S249" s="60">
        <f t="shared" si="34"/>
        <v>375000</v>
      </c>
    </row>
    <row r="250" spans="1:19" ht="30.75" customHeight="1" thickBot="1">
      <c r="A250" s="151" t="s">
        <v>112</v>
      </c>
      <c r="B250" s="152" t="s">
        <v>248</v>
      </c>
      <c r="C250" s="153">
        <f aca="true" t="shared" si="37" ref="C250:Q250">SUM(C251:C292)</f>
        <v>12999594</v>
      </c>
      <c r="D250" s="153">
        <f t="shared" si="37"/>
        <v>0</v>
      </c>
      <c r="E250" s="153">
        <f t="shared" si="37"/>
        <v>0</v>
      </c>
      <c r="F250" s="153">
        <f t="shared" si="37"/>
        <v>0</v>
      </c>
      <c r="G250" s="153">
        <f t="shared" si="37"/>
        <v>28147</v>
      </c>
      <c r="H250" s="153">
        <f t="shared" si="37"/>
        <v>0</v>
      </c>
      <c r="I250" s="153">
        <f t="shared" si="37"/>
        <v>21331</v>
      </c>
      <c r="J250" s="153">
        <f t="shared" si="37"/>
        <v>15003</v>
      </c>
      <c r="K250" s="153">
        <f t="shared" si="37"/>
        <v>43934</v>
      </c>
      <c r="L250" s="153">
        <f t="shared" si="37"/>
        <v>19935</v>
      </c>
      <c r="M250" s="153">
        <f t="shared" si="37"/>
        <v>15093</v>
      </c>
      <c r="N250" s="153">
        <f t="shared" si="37"/>
        <v>18345</v>
      </c>
      <c r="O250" s="153">
        <f t="shared" si="37"/>
        <v>93984</v>
      </c>
      <c r="P250" s="153">
        <f t="shared" si="37"/>
        <v>320478</v>
      </c>
      <c r="Q250" s="153">
        <f t="shared" si="37"/>
        <v>163919</v>
      </c>
      <c r="R250" s="153">
        <f>SUM(R251:R279)</f>
        <v>0</v>
      </c>
      <c r="S250" s="113">
        <f t="shared" si="34"/>
        <v>13739763</v>
      </c>
    </row>
    <row r="251" spans="1:19" ht="30.75" customHeight="1">
      <c r="A251" s="90" t="s">
        <v>325</v>
      </c>
      <c r="B251" s="91" t="s">
        <v>326</v>
      </c>
      <c r="C251" s="17">
        <v>41843</v>
      </c>
      <c r="D251" s="89"/>
      <c r="E251" s="89"/>
      <c r="F251" s="89"/>
      <c r="G251" s="140"/>
      <c r="H251" s="140"/>
      <c r="I251" s="140"/>
      <c r="J251" s="89"/>
      <c r="K251" s="89"/>
      <c r="L251" s="89"/>
      <c r="M251" s="89"/>
      <c r="N251" s="154"/>
      <c r="O251" s="155"/>
      <c r="P251" s="156">
        <v>27283</v>
      </c>
      <c r="Q251" s="157">
        <v>13365</v>
      </c>
      <c r="R251" s="18"/>
      <c r="S251" s="22">
        <f t="shared" si="34"/>
        <v>82491</v>
      </c>
    </row>
    <row r="252" spans="1:19" ht="30.75" customHeight="1">
      <c r="A252" s="158" t="s">
        <v>348</v>
      </c>
      <c r="B252" s="96" t="s">
        <v>349</v>
      </c>
      <c r="C252" s="4">
        <f>119646+135640</f>
        <v>255286</v>
      </c>
      <c r="D252" s="21"/>
      <c r="E252" s="21"/>
      <c r="F252" s="21"/>
      <c r="G252" s="21"/>
      <c r="H252" s="21"/>
      <c r="I252" s="21"/>
      <c r="J252" s="21">
        <v>577</v>
      </c>
      <c r="K252" s="21"/>
      <c r="L252" s="21"/>
      <c r="M252" s="21"/>
      <c r="N252" s="20"/>
      <c r="O252" s="4">
        <v>85199</v>
      </c>
      <c r="P252" s="14">
        <v>34881</v>
      </c>
      <c r="Q252" s="20"/>
      <c r="R252" s="20"/>
      <c r="S252" s="60">
        <f t="shared" si="34"/>
        <v>375943</v>
      </c>
    </row>
    <row r="253" spans="1:19" ht="15.75">
      <c r="A253" s="158" t="s">
        <v>375</v>
      </c>
      <c r="B253" s="159" t="s">
        <v>376</v>
      </c>
      <c r="C253" s="4">
        <v>55692</v>
      </c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0"/>
      <c r="O253" s="21"/>
      <c r="P253" s="20"/>
      <c r="Q253" s="14">
        <v>9046</v>
      </c>
      <c r="R253" s="20"/>
      <c r="S253" s="60">
        <f t="shared" si="34"/>
        <v>64738</v>
      </c>
    </row>
    <row r="254" spans="1:19" ht="30.75" customHeight="1">
      <c r="A254" s="158" t="s">
        <v>377</v>
      </c>
      <c r="B254" s="159" t="s">
        <v>378</v>
      </c>
      <c r="C254" s="4">
        <f>11490-7567</f>
        <v>3923</v>
      </c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0"/>
      <c r="O254" s="21"/>
      <c r="P254" s="20"/>
      <c r="Q254" s="20"/>
      <c r="R254" s="20"/>
      <c r="S254" s="60">
        <f t="shared" si="34"/>
        <v>3923</v>
      </c>
    </row>
    <row r="255" spans="1:19" ht="30.75" customHeight="1">
      <c r="A255" s="158" t="s">
        <v>379</v>
      </c>
      <c r="B255" s="160" t="s">
        <v>380</v>
      </c>
      <c r="C255" s="4">
        <v>7892</v>
      </c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0"/>
      <c r="O255" s="21"/>
      <c r="P255" s="20"/>
      <c r="Q255" s="20"/>
      <c r="R255" s="20"/>
      <c r="S255" s="60">
        <f t="shared" si="34"/>
        <v>7892</v>
      </c>
    </row>
    <row r="256" spans="1:19" ht="15">
      <c r="A256" s="90" t="s">
        <v>249</v>
      </c>
      <c r="B256" s="91" t="s">
        <v>427</v>
      </c>
      <c r="C256" s="14"/>
      <c r="D256" s="4"/>
      <c r="E256" s="4"/>
      <c r="F256" s="14"/>
      <c r="G256" s="4">
        <v>28147</v>
      </c>
      <c r="H256" s="4"/>
      <c r="I256" s="4">
        <v>21331</v>
      </c>
      <c r="J256" s="4"/>
      <c r="K256" s="4">
        <v>43934</v>
      </c>
      <c r="L256" s="4">
        <v>19935</v>
      </c>
      <c r="M256" s="4"/>
      <c r="N256" s="14"/>
      <c r="O256" s="14"/>
      <c r="P256" s="14"/>
      <c r="Q256" s="14"/>
      <c r="R256" s="14"/>
      <c r="S256" s="60">
        <f t="shared" si="34"/>
        <v>113347</v>
      </c>
    </row>
    <row r="257" spans="1:19" ht="15">
      <c r="A257" s="90" t="s">
        <v>250</v>
      </c>
      <c r="B257" s="161" t="s">
        <v>296</v>
      </c>
      <c r="C257" s="17"/>
      <c r="D257" s="4"/>
      <c r="E257" s="4"/>
      <c r="F257" s="14"/>
      <c r="G257" s="4"/>
      <c r="H257" s="4"/>
      <c r="I257" s="4"/>
      <c r="J257" s="4">
        <v>13526</v>
      </c>
      <c r="K257" s="4"/>
      <c r="L257" s="4"/>
      <c r="M257" s="4">
        <v>15093</v>
      </c>
      <c r="N257" s="69">
        <v>18345</v>
      </c>
      <c r="O257" s="4"/>
      <c r="P257" s="4"/>
      <c r="Q257" s="69"/>
      <c r="R257" s="14"/>
      <c r="S257" s="60">
        <f t="shared" si="34"/>
        <v>46964</v>
      </c>
    </row>
    <row r="258" spans="1:19" ht="47.25">
      <c r="A258" s="158" t="s">
        <v>381</v>
      </c>
      <c r="B258" s="162" t="s">
        <v>382</v>
      </c>
      <c r="C258" s="14">
        <v>11709</v>
      </c>
      <c r="D258" s="4"/>
      <c r="E258" s="4"/>
      <c r="F258" s="14"/>
      <c r="G258" s="4"/>
      <c r="H258" s="4"/>
      <c r="I258" s="4"/>
      <c r="J258" s="4"/>
      <c r="K258" s="4"/>
      <c r="L258" s="4"/>
      <c r="M258" s="4"/>
      <c r="N258" s="14"/>
      <c r="O258" s="14"/>
      <c r="P258" s="14"/>
      <c r="Q258" s="14"/>
      <c r="R258" s="14"/>
      <c r="S258" s="60">
        <f t="shared" si="34"/>
        <v>11709</v>
      </c>
    </row>
    <row r="259" spans="1:19" ht="47.25">
      <c r="A259" s="158" t="s">
        <v>383</v>
      </c>
      <c r="B259" s="159" t="s">
        <v>384</v>
      </c>
      <c r="C259" s="14">
        <v>8234</v>
      </c>
      <c r="D259" s="4"/>
      <c r="E259" s="4"/>
      <c r="F259" s="14"/>
      <c r="G259" s="4"/>
      <c r="H259" s="4"/>
      <c r="I259" s="4"/>
      <c r="J259" s="4"/>
      <c r="K259" s="4"/>
      <c r="L259" s="4"/>
      <c r="M259" s="4"/>
      <c r="N259" s="14"/>
      <c r="O259" s="14"/>
      <c r="P259" s="14"/>
      <c r="Q259" s="14"/>
      <c r="R259" s="14"/>
      <c r="S259" s="60">
        <f t="shared" si="34"/>
        <v>8234</v>
      </c>
    </row>
    <row r="260" spans="1:19" ht="60">
      <c r="A260" s="158" t="s">
        <v>391</v>
      </c>
      <c r="B260" s="96" t="s">
        <v>390</v>
      </c>
      <c r="C260" s="14">
        <v>5538</v>
      </c>
      <c r="D260" s="4"/>
      <c r="E260" s="4"/>
      <c r="F260" s="14"/>
      <c r="G260" s="4"/>
      <c r="H260" s="4"/>
      <c r="I260" s="4"/>
      <c r="J260" s="4"/>
      <c r="K260" s="4"/>
      <c r="L260" s="4"/>
      <c r="M260" s="4"/>
      <c r="N260" s="14"/>
      <c r="O260" s="14"/>
      <c r="P260" s="14"/>
      <c r="Q260" s="14"/>
      <c r="R260" s="14"/>
      <c r="S260" s="60">
        <f t="shared" si="34"/>
        <v>5538</v>
      </c>
    </row>
    <row r="261" spans="1:19" ht="30">
      <c r="A261" s="63" t="s">
        <v>285</v>
      </c>
      <c r="B261" s="96" t="s">
        <v>428</v>
      </c>
      <c r="C261" s="14">
        <v>11628587</v>
      </c>
      <c r="D261" s="4"/>
      <c r="E261" s="4"/>
      <c r="F261" s="14"/>
      <c r="G261" s="4"/>
      <c r="H261" s="4"/>
      <c r="I261" s="4"/>
      <c r="J261" s="4"/>
      <c r="K261" s="4"/>
      <c r="L261" s="4"/>
      <c r="M261" s="4"/>
      <c r="N261" s="14"/>
      <c r="O261" s="14"/>
      <c r="P261" s="14"/>
      <c r="Q261" s="14"/>
      <c r="R261" s="14"/>
      <c r="S261" s="60">
        <f t="shared" si="34"/>
        <v>11628587</v>
      </c>
    </row>
    <row r="262" spans="1:19" ht="28.5" customHeight="1">
      <c r="A262" s="90" t="s">
        <v>290</v>
      </c>
      <c r="B262" s="163" t="s">
        <v>385</v>
      </c>
      <c r="C262" s="14">
        <v>5249</v>
      </c>
      <c r="D262" s="4"/>
      <c r="E262" s="4"/>
      <c r="F262" s="14"/>
      <c r="G262" s="4"/>
      <c r="H262" s="4"/>
      <c r="I262" s="4"/>
      <c r="J262" s="4"/>
      <c r="K262" s="4"/>
      <c r="L262" s="4"/>
      <c r="M262" s="4"/>
      <c r="N262" s="14"/>
      <c r="O262" s="14"/>
      <c r="P262" s="14"/>
      <c r="Q262" s="14"/>
      <c r="R262" s="14"/>
      <c r="S262" s="60">
        <f t="shared" si="34"/>
        <v>5249</v>
      </c>
    </row>
    <row r="263" spans="1:19" ht="30">
      <c r="A263" s="164" t="s">
        <v>332</v>
      </c>
      <c r="B263" s="147" t="s">
        <v>331</v>
      </c>
      <c r="C263" s="14">
        <v>77720</v>
      </c>
      <c r="D263" s="14"/>
      <c r="E263" s="14"/>
      <c r="F263" s="14"/>
      <c r="G263" s="4"/>
      <c r="H263" s="11"/>
      <c r="I263" s="11"/>
      <c r="J263" s="11"/>
      <c r="K263" s="11"/>
      <c r="L263" s="11"/>
      <c r="M263" s="11"/>
      <c r="N263" s="67"/>
      <c r="O263" s="67">
        <v>8785</v>
      </c>
      <c r="P263" s="67"/>
      <c r="Q263" s="67"/>
      <c r="R263" s="14"/>
      <c r="S263" s="60">
        <f t="shared" si="34"/>
        <v>86505</v>
      </c>
    </row>
    <row r="264" spans="1:19" ht="45" customHeight="1">
      <c r="A264" s="165" t="s">
        <v>350</v>
      </c>
      <c r="B264" s="96" t="s">
        <v>351</v>
      </c>
      <c r="C264" s="4">
        <v>3656</v>
      </c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14"/>
      <c r="O264" s="14"/>
      <c r="P264" s="14"/>
      <c r="Q264" s="14"/>
      <c r="R264" s="14"/>
      <c r="S264" s="60">
        <f t="shared" si="34"/>
        <v>3656</v>
      </c>
    </row>
    <row r="265" spans="1:19" ht="47.25" customHeight="1">
      <c r="A265" s="165" t="s">
        <v>386</v>
      </c>
      <c r="B265" s="159" t="s">
        <v>387</v>
      </c>
      <c r="C265" s="14">
        <v>4538</v>
      </c>
      <c r="D265" s="14"/>
      <c r="E265" s="14"/>
      <c r="F265" s="14"/>
      <c r="G265" s="4"/>
      <c r="H265" s="14"/>
      <c r="I265" s="14"/>
      <c r="J265" s="14"/>
      <c r="K265" s="14"/>
      <c r="L265" s="14"/>
      <c r="M265" s="14"/>
      <c r="N265" s="14"/>
      <c r="O265" s="4"/>
      <c r="P265" s="14"/>
      <c r="Q265" s="14"/>
      <c r="R265" s="14"/>
      <c r="S265" s="60">
        <f t="shared" si="34"/>
        <v>4538</v>
      </c>
    </row>
    <row r="266" spans="1:19" ht="47.25" customHeight="1">
      <c r="A266" s="165" t="s">
        <v>441</v>
      </c>
      <c r="B266" s="166" t="s">
        <v>440</v>
      </c>
      <c r="C266" s="4">
        <v>4281</v>
      </c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17"/>
      <c r="O266" s="85"/>
      <c r="P266" s="17"/>
      <c r="Q266" s="17"/>
      <c r="R266" s="14"/>
      <c r="S266" s="60">
        <f t="shared" si="34"/>
        <v>4281</v>
      </c>
    </row>
    <row r="267" spans="1:19" ht="47.25" customHeight="1">
      <c r="A267" s="165" t="s">
        <v>443</v>
      </c>
      <c r="B267" s="167" t="s">
        <v>442</v>
      </c>
      <c r="C267" s="4">
        <v>11155</v>
      </c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14"/>
      <c r="O267" s="4"/>
      <c r="P267" s="14"/>
      <c r="Q267" s="14"/>
      <c r="R267" s="14"/>
      <c r="S267" s="60">
        <f t="shared" si="34"/>
        <v>11155</v>
      </c>
    </row>
    <row r="268" spans="1:19" ht="47.25" customHeight="1">
      <c r="A268" s="165" t="s">
        <v>445</v>
      </c>
      <c r="B268" s="167" t="s">
        <v>444</v>
      </c>
      <c r="C268" s="4">
        <v>21664</v>
      </c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17"/>
      <c r="O268" s="17"/>
      <c r="P268" s="17"/>
      <c r="Q268" s="17"/>
      <c r="R268" s="14"/>
      <c r="S268" s="60">
        <f t="shared" si="34"/>
        <v>21664</v>
      </c>
    </row>
    <row r="269" spans="1:19" ht="47.25" customHeight="1">
      <c r="A269" s="165" t="s">
        <v>447</v>
      </c>
      <c r="B269" s="167" t="s">
        <v>446</v>
      </c>
      <c r="C269" s="4">
        <v>22954</v>
      </c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14"/>
      <c r="O269" s="4"/>
      <c r="P269" s="14"/>
      <c r="Q269" s="14"/>
      <c r="R269" s="14"/>
      <c r="S269" s="60">
        <f aca="true" t="shared" si="38" ref="S269:S316">SUM(C269:R269)</f>
        <v>22954</v>
      </c>
    </row>
    <row r="270" spans="1:19" ht="45">
      <c r="A270" s="165" t="s">
        <v>451</v>
      </c>
      <c r="B270" s="167" t="s">
        <v>450</v>
      </c>
      <c r="C270" s="4">
        <v>21617</v>
      </c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17"/>
      <c r="O270" s="85"/>
      <c r="P270" s="17"/>
      <c r="Q270" s="17"/>
      <c r="R270" s="14"/>
      <c r="S270" s="60">
        <f t="shared" si="38"/>
        <v>21617</v>
      </c>
    </row>
    <row r="271" spans="1:19" ht="47.25" customHeight="1">
      <c r="A271" s="165" t="s">
        <v>449</v>
      </c>
      <c r="B271" s="167" t="s">
        <v>448</v>
      </c>
      <c r="C271" s="4">
        <v>26560</v>
      </c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14"/>
      <c r="O271" s="4"/>
      <c r="P271" s="14"/>
      <c r="Q271" s="14"/>
      <c r="R271" s="14"/>
      <c r="S271" s="60">
        <f t="shared" si="38"/>
        <v>26560</v>
      </c>
    </row>
    <row r="272" spans="1:19" ht="30">
      <c r="A272" s="165" t="s">
        <v>453</v>
      </c>
      <c r="B272" s="167" t="s">
        <v>452</v>
      </c>
      <c r="C272" s="4">
        <v>16368</v>
      </c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17"/>
      <c r="O272" s="85"/>
      <c r="P272" s="17"/>
      <c r="Q272" s="17"/>
      <c r="R272" s="14"/>
      <c r="S272" s="60">
        <f t="shared" si="38"/>
        <v>16368</v>
      </c>
    </row>
    <row r="273" spans="1:19" ht="47.25" customHeight="1">
      <c r="A273" s="126" t="s">
        <v>455</v>
      </c>
      <c r="B273" s="159" t="s">
        <v>454</v>
      </c>
      <c r="C273" s="4"/>
      <c r="D273" s="4"/>
      <c r="E273" s="4"/>
      <c r="F273" s="4"/>
      <c r="G273" s="4"/>
      <c r="H273" s="4"/>
      <c r="I273" s="4"/>
      <c r="J273" s="4">
        <v>900</v>
      </c>
      <c r="K273" s="4"/>
      <c r="L273" s="4"/>
      <c r="M273" s="4"/>
      <c r="N273" s="14"/>
      <c r="O273" s="4"/>
      <c r="P273" s="14"/>
      <c r="Q273" s="14"/>
      <c r="R273" s="14"/>
      <c r="S273" s="60">
        <f t="shared" si="38"/>
        <v>900</v>
      </c>
    </row>
    <row r="274" spans="1:19" ht="47.25" customHeight="1">
      <c r="A274" s="126" t="s">
        <v>479</v>
      </c>
      <c r="B274" s="168" t="s">
        <v>478</v>
      </c>
      <c r="C274" s="14">
        <v>1253</v>
      </c>
      <c r="D274" s="14"/>
      <c r="E274" s="14"/>
      <c r="F274" s="14"/>
      <c r="G274" s="4"/>
      <c r="H274" s="14"/>
      <c r="I274" s="14"/>
      <c r="J274" s="14"/>
      <c r="K274" s="14"/>
      <c r="L274" s="14"/>
      <c r="M274" s="14"/>
      <c r="N274" s="14"/>
      <c r="O274" s="4"/>
      <c r="P274" s="14"/>
      <c r="Q274" s="14"/>
      <c r="R274" s="14"/>
      <c r="S274" s="60">
        <f t="shared" si="38"/>
        <v>1253</v>
      </c>
    </row>
    <row r="275" spans="1:19" ht="30">
      <c r="A275" s="126" t="s">
        <v>482</v>
      </c>
      <c r="B275" s="135" t="s">
        <v>483</v>
      </c>
      <c r="C275" s="14">
        <f>465736+4020</f>
        <v>469756</v>
      </c>
      <c r="D275" s="14"/>
      <c r="E275" s="14"/>
      <c r="F275" s="14"/>
      <c r="G275" s="4"/>
      <c r="H275" s="14"/>
      <c r="I275" s="14"/>
      <c r="J275" s="14"/>
      <c r="K275" s="14"/>
      <c r="L275" s="14"/>
      <c r="M275" s="14"/>
      <c r="N275" s="14"/>
      <c r="O275" s="4"/>
      <c r="P275" s="14"/>
      <c r="Q275" s="14"/>
      <c r="R275" s="14"/>
      <c r="S275" s="60">
        <f t="shared" si="38"/>
        <v>469756</v>
      </c>
    </row>
    <row r="276" spans="1:19" ht="45">
      <c r="A276" s="126" t="s">
        <v>531</v>
      </c>
      <c r="B276" s="135" t="s">
        <v>532</v>
      </c>
      <c r="C276" s="14">
        <v>20026</v>
      </c>
      <c r="D276" s="14"/>
      <c r="E276" s="14"/>
      <c r="F276" s="14"/>
      <c r="G276" s="4"/>
      <c r="H276" s="14"/>
      <c r="I276" s="14"/>
      <c r="J276" s="14"/>
      <c r="K276" s="14"/>
      <c r="L276" s="14"/>
      <c r="M276" s="14"/>
      <c r="N276" s="14"/>
      <c r="O276" s="4"/>
      <c r="P276" s="14"/>
      <c r="Q276" s="14"/>
      <c r="R276" s="14"/>
      <c r="S276" s="60">
        <f t="shared" si="38"/>
        <v>20026</v>
      </c>
    </row>
    <row r="277" spans="1:19" ht="45">
      <c r="A277" s="126" t="s">
        <v>533</v>
      </c>
      <c r="B277" s="135" t="s">
        <v>534</v>
      </c>
      <c r="C277" s="14">
        <v>26222</v>
      </c>
      <c r="D277" s="14"/>
      <c r="E277" s="14"/>
      <c r="F277" s="14"/>
      <c r="G277" s="4"/>
      <c r="H277" s="14"/>
      <c r="I277" s="14"/>
      <c r="J277" s="14"/>
      <c r="K277" s="14"/>
      <c r="L277" s="14"/>
      <c r="M277" s="14"/>
      <c r="N277" s="14"/>
      <c r="O277" s="4"/>
      <c r="P277" s="14"/>
      <c r="Q277" s="14"/>
      <c r="R277" s="14"/>
      <c r="S277" s="60">
        <f t="shared" si="38"/>
        <v>26222</v>
      </c>
    </row>
    <row r="278" spans="1:19" ht="30">
      <c r="A278" s="126" t="s">
        <v>542</v>
      </c>
      <c r="B278" s="135" t="s">
        <v>546</v>
      </c>
      <c r="C278" s="14">
        <v>91600</v>
      </c>
      <c r="D278" s="14"/>
      <c r="E278" s="14"/>
      <c r="F278" s="14"/>
      <c r="G278" s="4"/>
      <c r="H278" s="14"/>
      <c r="I278" s="14"/>
      <c r="J278" s="14"/>
      <c r="K278" s="14"/>
      <c r="L278" s="14"/>
      <c r="M278" s="14"/>
      <c r="N278" s="14"/>
      <c r="O278" s="4"/>
      <c r="P278" s="14"/>
      <c r="Q278" s="14"/>
      <c r="R278" s="14"/>
      <c r="S278" s="60">
        <f t="shared" si="38"/>
        <v>91600</v>
      </c>
    </row>
    <row r="279" spans="1:19" ht="30">
      <c r="A279" s="126" t="s">
        <v>543</v>
      </c>
      <c r="B279" s="135" t="s">
        <v>547</v>
      </c>
      <c r="C279" s="14">
        <v>98892</v>
      </c>
      <c r="D279" s="14"/>
      <c r="E279" s="14"/>
      <c r="F279" s="14"/>
      <c r="G279" s="4"/>
      <c r="H279" s="14"/>
      <c r="I279" s="14"/>
      <c r="J279" s="14"/>
      <c r="K279" s="14"/>
      <c r="L279" s="14"/>
      <c r="M279" s="14"/>
      <c r="N279" s="14"/>
      <c r="O279" s="4"/>
      <c r="P279" s="14"/>
      <c r="Q279" s="14"/>
      <c r="R279" s="14"/>
      <c r="S279" s="60">
        <f t="shared" si="38"/>
        <v>98892</v>
      </c>
    </row>
    <row r="280" spans="1:19" ht="45">
      <c r="A280" s="126" t="s">
        <v>666</v>
      </c>
      <c r="B280" s="167" t="s">
        <v>669</v>
      </c>
      <c r="C280" s="14">
        <v>57379</v>
      </c>
      <c r="D280" s="14"/>
      <c r="E280" s="14"/>
      <c r="F280" s="14"/>
      <c r="G280" s="4"/>
      <c r="H280" s="14"/>
      <c r="I280" s="14"/>
      <c r="J280" s="14"/>
      <c r="K280" s="14"/>
      <c r="L280" s="14"/>
      <c r="M280" s="14"/>
      <c r="N280" s="14"/>
      <c r="O280" s="14"/>
      <c r="P280" s="4">
        <v>8799</v>
      </c>
      <c r="Q280" s="14">
        <v>7979</v>
      </c>
      <c r="R280" s="14"/>
      <c r="S280" s="60">
        <f t="shared" si="38"/>
        <v>74157</v>
      </c>
    </row>
    <row r="281" spans="1:19" ht="15">
      <c r="A281" s="169" t="s">
        <v>112</v>
      </c>
      <c r="B281" s="147" t="s">
        <v>608</v>
      </c>
      <c r="C281" s="17"/>
      <c r="D281" s="17"/>
      <c r="E281" s="17"/>
      <c r="F281" s="17"/>
      <c r="G281" s="85"/>
      <c r="H281" s="17"/>
      <c r="I281" s="17"/>
      <c r="J281" s="17"/>
      <c r="K281" s="17"/>
      <c r="L281" s="17"/>
      <c r="M281" s="17"/>
      <c r="N281" s="17"/>
      <c r="O281" s="17"/>
      <c r="P281" s="17">
        <v>144013</v>
      </c>
      <c r="Q281" s="14"/>
      <c r="R281" s="14"/>
      <c r="S281" s="60">
        <f t="shared" si="38"/>
        <v>144013</v>
      </c>
    </row>
    <row r="282" spans="1:19" ht="30">
      <c r="A282" s="169" t="s">
        <v>112</v>
      </c>
      <c r="B282" s="147" t="s">
        <v>609</v>
      </c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>
        <v>4900</v>
      </c>
      <c r="Q282" s="14"/>
      <c r="R282" s="14"/>
      <c r="S282" s="60">
        <f t="shared" si="38"/>
        <v>4900</v>
      </c>
    </row>
    <row r="283" spans="1:19" ht="30">
      <c r="A283" s="169" t="s">
        <v>112</v>
      </c>
      <c r="B283" s="147" t="s">
        <v>610</v>
      </c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>
        <v>21630</v>
      </c>
      <c r="Q283" s="14"/>
      <c r="R283" s="14"/>
      <c r="S283" s="60">
        <f t="shared" si="38"/>
        <v>21630</v>
      </c>
    </row>
    <row r="284" spans="1:19" ht="30">
      <c r="A284" s="169" t="s">
        <v>112</v>
      </c>
      <c r="B284" s="147" t="s">
        <v>611</v>
      </c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>
        <v>18380</v>
      </c>
      <c r="Q284" s="14"/>
      <c r="R284" s="14"/>
      <c r="S284" s="60">
        <f t="shared" si="38"/>
        <v>18380</v>
      </c>
    </row>
    <row r="285" spans="1:19" ht="30">
      <c r="A285" s="169" t="s">
        <v>112</v>
      </c>
      <c r="B285" s="147" t="s">
        <v>612</v>
      </c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>
        <v>11292</v>
      </c>
      <c r="Q285" s="14"/>
      <c r="R285" s="14"/>
      <c r="S285" s="60">
        <f t="shared" si="38"/>
        <v>11292</v>
      </c>
    </row>
    <row r="286" spans="1:19" ht="30">
      <c r="A286" s="169" t="s">
        <v>112</v>
      </c>
      <c r="B286" s="147" t="s">
        <v>613</v>
      </c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>
        <v>27956</v>
      </c>
      <c r="Q286" s="14"/>
      <c r="R286" s="14"/>
      <c r="S286" s="60">
        <f t="shared" si="38"/>
        <v>27956</v>
      </c>
    </row>
    <row r="287" spans="1:19" ht="30">
      <c r="A287" s="169" t="s">
        <v>112</v>
      </c>
      <c r="B287" s="147" t="s">
        <v>614</v>
      </c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>
        <v>21344</v>
      </c>
      <c r="Q287" s="14"/>
      <c r="R287" s="14"/>
      <c r="S287" s="60">
        <f t="shared" si="38"/>
        <v>21344</v>
      </c>
    </row>
    <row r="288" spans="1:19" ht="30">
      <c r="A288" s="169" t="s">
        <v>112</v>
      </c>
      <c r="B288" s="167" t="s">
        <v>641</v>
      </c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14">
        <v>20993</v>
      </c>
      <c r="R288" s="14"/>
      <c r="S288" s="60">
        <f t="shared" si="38"/>
        <v>20993</v>
      </c>
    </row>
    <row r="289" spans="1:19" ht="30">
      <c r="A289" s="169" t="s">
        <v>112</v>
      </c>
      <c r="B289" s="167" t="s">
        <v>642</v>
      </c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14">
        <v>77308</v>
      </c>
      <c r="R289" s="14"/>
      <c r="S289" s="60">
        <f t="shared" si="38"/>
        <v>77308</v>
      </c>
    </row>
    <row r="290" spans="1:19" ht="30">
      <c r="A290" s="169" t="s">
        <v>112</v>
      </c>
      <c r="B290" s="167" t="s">
        <v>643</v>
      </c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14">
        <v>14292</v>
      </c>
      <c r="R290" s="14"/>
      <c r="S290" s="60">
        <f t="shared" si="38"/>
        <v>14292</v>
      </c>
    </row>
    <row r="291" spans="1:19" ht="15">
      <c r="A291" s="169" t="s">
        <v>112</v>
      </c>
      <c r="B291" s="167" t="s">
        <v>653</v>
      </c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14">
        <v>10963</v>
      </c>
      <c r="R291" s="14"/>
      <c r="S291" s="60">
        <f t="shared" si="38"/>
        <v>10963</v>
      </c>
    </row>
    <row r="292" spans="1:19" ht="30.75" thickBot="1">
      <c r="A292" s="127" t="s">
        <v>112</v>
      </c>
      <c r="B292" s="167" t="s">
        <v>644</v>
      </c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14">
        <v>9973</v>
      </c>
      <c r="R292" s="14"/>
      <c r="S292" s="60">
        <f t="shared" si="38"/>
        <v>9973</v>
      </c>
    </row>
    <row r="293" spans="1:19" ht="15.75" thickBot="1">
      <c r="A293" s="77" t="s">
        <v>7</v>
      </c>
      <c r="B293" s="47" t="s">
        <v>113</v>
      </c>
      <c r="C293" s="48">
        <f aca="true" t="shared" si="39" ref="C293:P293">SUM(C294+C295+C297+C298+C299+C312)</f>
        <v>4680431</v>
      </c>
      <c r="D293" s="48">
        <f t="shared" si="39"/>
        <v>55453</v>
      </c>
      <c r="E293" s="48">
        <f t="shared" si="39"/>
        <v>0</v>
      </c>
      <c r="F293" s="48">
        <f t="shared" si="39"/>
        <v>0</v>
      </c>
      <c r="G293" s="48">
        <f t="shared" si="39"/>
        <v>3970</v>
      </c>
      <c r="H293" s="48">
        <f t="shared" si="39"/>
        <v>4390</v>
      </c>
      <c r="I293" s="48">
        <f t="shared" si="39"/>
        <v>3040</v>
      </c>
      <c r="J293" s="48">
        <f t="shared" si="39"/>
        <v>640144</v>
      </c>
      <c r="K293" s="48">
        <f t="shared" si="39"/>
        <v>2936</v>
      </c>
      <c r="L293" s="48">
        <f t="shared" si="39"/>
        <v>2400</v>
      </c>
      <c r="M293" s="48">
        <f t="shared" si="39"/>
        <v>5450</v>
      </c>
      <c r="N293" s="48">
        <f t="shared" si="39"/>
        <v>2440</v>
      </c>
      <c r="O293" s="48">
        <f t="shared" si="39"/>
        <v>872975</v>
      </c>
      <c r="P293" s="48">
        <f t="shared" si="39"/>
        <v>1191480</v>
      </c>
      <c r="Q293" s="48">
        <f>SUM(Q294+Q295+Q296+Q297+Q298+Q299+Q312)</f>
        <v>669846</v>
      </c>
      <c r="R293" s="48">
        <f>SUM(R294+R295+R296+R297+R298+R299+R312)</f>
        <v>0</v>
      </c>
      <c r="S293" s="49">
        <f t="shared" si="38"/>
        <v>8134955</v>
      </c>
    </row>
    <row r="294" spans="1:19" ht="29.25">
      <c r="A294" s="170" t="s">
        <v>615</v>
      </c>
      <c r="B294" s="171" t="s">
        <v>616</v>
      </c>
      <c r="C294" s="154"/>
      <c r="D294" s="154"/>
      <c r="E294" s="154"/>
      <c r="F294" s="154"/>
      <c r="G294" s="53"/>
      <c r="H294" s="154"/>
      <c r="I294" s="154"/>
      <c r="J294" s="154"/>
      <c r="K294" s="154"/>
      <c r="L294" s="154"/>
      <c r="M294" s="154"/>
      <c r="N294" s="154"/>
      <c r="O294" s="154"/>
      <c r="P294" s="154">
        <v>108240</v>
      </c>
      <c r="Q294" s="154"/>
      <c r="R294" s="18"/>
      <c r="S294" s="22">
        <f t="shared" si="38"/>
        <v>108240</v>
      </c>
    </row>
    <row r="295" spans="1:19" ht="16.5" customHeight="1">
      <c r="A295" s="50" t="s">
        <v>429</v>
      </c>
      <c r="B295" s="51" t="s">
        <v>181</v>
      </c>
      <c r="C295" s="18">
        <f>166180-166+100886</f>
        <v>266900</v>
      </c>
      <c r="D295" s="58"/>
      <c r="E295" s="58"/>
      <c r="F295" s="18"/>
      <c r="G295" s="58">
        <v>850</v>
      </c>
      <c r="H295" s="58"/>
      <c r="I295" s="58"/>
      <c r="J295" s="58">
        <v>166</v>
      </c>
      <c r="K295" s="58"/>
      <c r="L295" s="58"/>
      <c r="M295" s="58"/>
      <c r="N295" s="18"/>
      <c r="O295" s="58">
        <v>38930</v>
      </c>
      <c r="P295" s="18">
        <v>93398</v>
      </c>
      <c r="Q295" s="18">
        <v>48980</v>
      </c>
      <c r="R295" s="20"/>
      <c r="S295" s="60">
        <f t="shared" si="38"/>
        <v>449224</v>
      </c>
    </row>
    <row r="296" spans="1:19" ht="16.5" customHeight="1">
      <c r="A296" s="50"/>
      <c r="B296" s="51" t="s">
        <v>656</v>
      </c>
      <c r="C296" s="18"/>
      <c r="D296" s="18"/>
      <c r="E296" s="18"/>
      <c r="F296" s="18"/>
      <c r="G296" s="58"/>
      <c r="H296" s="58"/>
      <c r="I296" s="58"/>
      <c r="J296" s="58"/>
      <c r="K296" s="59"/>
      <c r="L296" s="59"/>
      <c r="M296" s="18"/>
      <c r="N296" s="18"/>
      <c r="O296" s="18"/>
      <c r="P296" s="18"/>
      <c r="Q296" s="18">
        <v>14040</v>
      </c>
      <c r="R296" s="20"/>
      <c r="S296" s="60">
        <f t="shared" si="38"/>
        <v>14040</v>
      </c>
    </row>
    <row r="297" spans="1:19" ht="15">
      <c r="A297" s="50" t="s">
        <v>430</v>
      </c>
      <c r="B297" s="51" t="s">
        <v>153</v>
      </c>
      <c r="C297" s="18">
        <f>14050+16115</f>
        <v>30165</v>
      </c>
      <c r="D297" s="18"/>
      <c r="E297" s="18"/>
      <c r="F297" s="18"/>
      <c r="G297" s="58">
        <v>2390</v>
      </c>
      <c r="H297" s="58">
        <v>2390</v>
      </c>
      <c r="I297" s="58">
        <v>2390</v>
      </c>
      <c r="J297" s="58">
        <v>2390</v>
      </c>
      <c r="K297" s="59">
        <v>2400</v>
      </c>
      <c r="L297" s="59">
        <v>2400</v>
      </c>
      <c r="M297" s="18">
        <v>2400</v>
      </c>
      <c r="N297" s="18">
        <v>2390</v>
      </c>
      <c r="O297" s="18">
        <v>4138</v>
      </c>
      <c r="P297" s="18">
        <v>8263</v>
      </c>
      <c r="Q297" s="18">
        <v>4106</v>
      </c>
      <c r="R297" s="20"/>
      <c r="S297" s="60">
        <f t="shared" si="38"/>
        <v>65822</v>
      </c>
    </row>
    <row r="298" spans="1:19" ht="15">
      <c r="A298" s="50" t="s">
        <v>114</v>
      </c>
      <c r="B298" s="51" t="s">
        <v>115</v>
      </c>
      <c r="C298" s="18"/>
      <c r="D298" s="52"/>
      <c r="E298" s="52"/>
      <c r="F298" s="16"/>
      <c r="G298" s="52"/>
      <c r="H298" s="52"/>
      <c r="I298" s="52"/>
      <c r="J298" s="52"/>
      <c r="K298" s="52"/>
      <c r="L298" s="52"/>
      <c r="M298" s="52"/>
      <c r="N298" s="16"/>
      <c r="O298" s="16"/>
      <c r="P298" s="16"/>
      <c r="Q298" s="16"/>
      <c r="R298" s="14"/>
      <c r="S298" s="60">
        <f t="shared" si="38"/>
        <v>0</v>
      </c>
    </row>
    <row r="299" spans="1:19" ht="29.25">
      <c r="A299" s="61" t="s">
        <v>116</v>
      </c>
      <c r="B299" s="62" t="s">
        <v>117</v>
      </c>
      <c r="C299" s="21">
        <f aca="true" t="shared" si="40" ref="C299:R299">SUM(C300:C311)</f>
        <v>4383366</v>
      </c>
      <c r="D299" s="21">
        <f t="shared" si="40"/>
        <v>55453</v>
      </c>
      <c r="E299" s="21">
        <f t="shared" si="40"/>
        <v>0</v>
      </c>
      <c r="F299" s="21">
        <f t="shared" si="40"/>
        <v>0</v>
      </c>
      <c r="G299" s="116">
        <f t="shared" si="40"/>
        <v>730</v>
      </c>
      <c r="H299" s="115">
        <f t="shared" si="40"/>
        <v>2000</v>
      </c>
      <c r="I299" s="21">
        <f t="shared" si="40"/>
        <v>650</v>
      </c>
      <c r="J299" s="21">
        <f t="shared" si="40"/>
        <v>637588</v>
      </c>
      <c r="K299" s="21">
        <f t="shared" si="40"/>
        <v>536</v>
      </c>
      <c r="L299" s="21">
        <f t="shared" si="40"/>
        <v>0</v>
      </c>
      <c r="M299" s="21">
        <f t="shared" si="40"/>
        <v>3050</v>
      </c>
      <c r="N299" s="21">
        <f t="shared" si="40"/>
        <v>50</v>
      </c>
      <c r="O299" s="21">
        <f t="shared" si="40"/>
        <v>742590</v>
      </c>
      <c r="P299" s="21">
        <f t="shared" si="40"/>
        <v>940729</v>
      </c>
      <c r="Q299" s="21">
        <f t="shared" si="40"/>
        <v>602720</v>
      </c>
      <c r="R299" s="116">
        <f t="shared" si="40"/>
        <v>0</v>
      </c>
      <c r="S299" s="60">
        <f t="shared" si="38"/>
        <v>7369462</v>
      </c>
    </row>
    <row r="300" spans="1:20" ht="15">
      <c r="A300" s="63" t="s">
        <v>251</v>
      </c>
      <c r="B300" s="24" t="s">
        <v>118</v>
      </c>
      <c r="C300" s="14">
        <f>1018029+6049</f>
        <v>1024078</v>
      </c>
      <c r="D300" s="4">
        <v>55453</v>
      </c>
      <c r="E300" s="4"/>
      <c r="F300" s="14"/>
      <c r="G300" s="98">
        <v>730</v>
      </c>
      <c r="H300" s="4"/>
      <c r="I300" s="4">
        <v>100</v>
      </c>
      <c r="J300" s="4">
        <v>1783</v>
      </c>
      <c r="K300" s="4">
        <v>536</v>
      </c>
      <c r="L300" s="4"/>
      <c r="M300" s="98">
        <v>3050</v>
      </c>
      <c r="N300" s="69">
        <v>50</v>
      </c>
      <c r="O300" s="98">
        <v>314368</v>
      </c>
      <c r="P300" s="98">
        <v>865436</v>
      </c>
      <c r="Q300" s="69">
        <v>524649</v>
      </c>
      <c r="R300" s="14"/>
      <c r="S300" s="60">
        <f t="shared" si="38"/>
        <v>2790233</v>
      </c>
      <c r="T300" s="27"/>
    </row>
    <row r="301" spans="1:20" ht="15">
      <c r="A301" s="63" t="s">
        <v>252</v>
      </c>
      <c r="B301" s="24" t="s">
        <v>17</v>
      </c>
      <c r="C301" s="14">
        <f>1319314-9000</f>
        <v>1310314</v>
      </c>
      <c r="D301" s="4"/>
      <c r="E301" s="4"/>
      <c r="F301" s="14"/>
      <c r="G301" s="98"/>
      <c r="H301" s="4">
        <v>2000</v>
      </c>
      <c r="I301" s="4"/>
      <c r="J301" s="4"/>
      <c r="K301" s="4"/>
      <c r="L301" s="4"/>
      <c r="M301" s="98"/>
      <c r="N301" s="69"/>
      <c r="O301" s="98"/>
      <c r="P301" s="98"/>
      <c r="Q301" s="69"/>
      <c r="R301" s="14"/>
      <c r="S301" s="60">
        <f t="shared" si="38"/>
        <v>1312314</v>
      </c>
      <c r="T301" s="27"/>
    </row>
    <row r="302" spans="1:19" ht="15">
      <c r="A302" s="63" t="s">
        <v>297</v>
      </c>
      <c r="B302" s="24" t="s">
        <v>298</v>
      </c>
      <c r="C302" s="14">
        <v>264647</v>
      </c>
      <c r="D302" s="4"/>
      <c r="E302" s="4"/>
      <c r="F302" s="14"/>
      <c r="G302" s="4"/>
      <c r="H302" s="4"/>
      <c r="I302" s="4"/>
      <c r="J302" s="4"/>
      <c r="K302" s="4"/>
      <c r="L302" s="4"/>
      <c r="M302" s="4"/>
      <c r="N302" s="14"/>
      <c r="O302" s="14"/>
      <c r="P302" s="14"/>
      <c r="Q302" s="14">
        <v>34400</v>
      </c>
      <c r="R302" s="14"/>
      <c r="S302" s="60">
        <f t="shared" si="38"/>
        <v>299047</v>
      </c>
    </row>
    <row r="303" spans="1:19" ht="15">
      <c r="A303" s="63" t="s">
        <v>253</v>
      </c>
      <c r="B303" s="24" t="s">
        <v>155</v>
      </c>
      <c r="C303" s="14"/>
      <c r="D303" s="4"/>
      <c r="E303" s="4"/>
      <c r="F303" s="14"/>
      <c r="G303" s="4"/>
      <c r="H303" s="4"/>
      <c r="I303" s="4"/>
      <c r="J303" s="4">
        <v>633235</v>
      </c>
      <c r="K303" s="4"/>
      <c r="L303" s="4"/>
      <c r="M303" s="4"/>
      <c r="N303" s="14"/>
      <c r="O303" s="14"/>
      <c r="P303" s="14"/>
      <c r="Q303" s="14"/>
      <c r="R303" s="14"/>
      <c r="S303" s="60">
        <f t="shared" si="38"/>
        <v>633235</v>
      </c>
    </row>
    <row r="304" spans="1:19" ht="15">
      <c r="A304" s="63" t="s">
        <v>116</v>
      </c>
      <c r="B304" s="24" t="s">
        <v>571</v>
      </c>
      <c r="C304" s="14"/>
      <c r="D304" s="4"/>
      <c r="E304" s="4"/>
      <c r="F304" s="14"/>
      <c r="G304" s="4"/>
      <c r="H304" s="4"/>
      <c r="I304" s="4"/>
      <c r="J304" s="4"/>
      <c r="K304" s="4"/>
      <c r="L304" s="4"/>
      <c r="M304" s="4"/>
      <c r="N304" s="14"/>
      <c r="O304" s="14">
        <v>424851</v>
      </c>
      <c r="P304" s="14"/>
      <c r="Q304" s="14"/>
      <c r="R304" s="14"/>
      <c r="S304" s="60">
        <f t="shared" si="38"/>
        <v>424851</v>
      </c>
    </row>
    <row r="305" spans="1:19" ht="30">
      <c r="A305" s="63" t="s">
        <v>314</v>
      </c>
      <c r="B305" s="91" t="s">
        <v>315</v>
      </c>
      <c r="C305" s="4">
        <v>26350</v>
      </c>
      <c r="D305" s="4"/>
      <c r="E305" s="4"/>
      <c r="F305" s="14"/>
      <c r="G305" s="4"/>
      <c r="H305" s="4"/>
      <c r="I305" s="4"/>
      <c r="J305" s="4"/>
      <c r="K305" s="4"/>
      <c r="L305" s="4"/>
      <c r="M305" s="4"/>
      <c r="N305" s="14"/>
      <c r="O305" s="14"/>
      <c r="P305" s="14"/>
      <c r="Q305" s="14"/>
      <c r="R305" s="14"/>
      <c r="S305" s="60">
        <f t="shared" si="38"/>
        <v>26350</v>
      </c>
    </row>
    <row r="306" spans="1:19" ht="31.5">
      <c r="A306" s="102" t="s">
        <v>388</v>
      </c>
      <c r="B306" s="172" t="s">
        <v>389</v>
      </c>
      <c r="C306" s="14">
        <f>15000+3150</f>
        <v>18150</v>
      </c>
      <c r="D306" s="4"/>
      <c r="E306" s="4"/>
      <c r="F306" s="14"/>
      <c r="G306" s="4"/>
      <c r="H306" s="4"/>
      <c r="I306" s="4"/>
      <c r="J306" s="14"/>
      <c r="K306" s="14"/>
      <c r="L306" s="14"/>
      <c r="M306" s="14"/>
      <c r="N306" s="14"/>
      <c r="O306" s="14"/>
      <c r="P306" s="14"/>
      <c r="Q306" s="14"/>
      <c r="R306" s="14"/>
      <c r="S306" s="60">
        <f t="shared" si="38"/>
        <v>18150</v>
      </c>
    </row>
    <row r="307" spans="1:19" ht="15">
      <c r="A307" s="63" t="s">
        <v>254</v>
      </c>
      <c r="B307" s="24" t="s">
        <v>154</v>
      </c>
      <c r="C307" s="14">
        <v>45241</v>
      </c>
      <c r="D307" s="4"/>
      <c r="E307" s="4"/>
      <c r="F307" s="14"/>
      <c r="G307" s="4"/>
      <c r="H307" s="4"/>
      <c r="I307" s="4">
        <v>550</v>
      </c>
      <c r="J307" s="14">
        <v>2570</v>
      </c>
      <c r="K307" s="14"/>
      <c r="L307" s="14"/>
      <c r="M307" s="14"/>
      <c r="N307" s="14"/>
      <c r="O307" s="14"/>
      <c r="P307" s="14"/>
      <c r="Q307" s="14"/>
      <c r="R307" s="14"/>
      <c r="S307" s="60">
        <f t="shared" si="38"/>
        <v>48361</v>
      </c>
    </row>
    <row r="308" spans="1:19" ht="30">
      <c r="A308" s="102" t="s">
        <v>393</v>
      </c>
      <c r="B308" s="173" t="s">
        <v>392</v>
      </c>
      <c r="C308" s="14">
        <f>19128+13721</f>
        <v>32849</v>
      </c>
      <c r="D308" s="4"/>
      <c r="E308" s="4"/>
      <c r="F308" s="14"/>
      <c r="G308" s="4"/>
      <c r="H308" s="4"/>
      <c r="I308" s="4"/>
      <c r="J308" s="14"/>
      <c r="K308" s="14"/>
      <c r="L308" s="14"/>
      <c r="M308" s="14"/>
      <c r="N308" s="14"/>
      <c r="O308" s="14"/>
      <c r="P308" s="14"/>
      <c r="Q308" s="14"/>
      <c r="R308" s="14"/>
      <c r="S308" s="60">
        <f t="shared" si="38"/>
        <v>32849</v>
      </c>
    </row>
    <row r="309" spans="1:19" ht="45">
      <c r="A309" s="63" t="s">
        <v>288</v>
      </c>
      <c r="B309" s="96" t="s">
        <v>431</v>
      </c>
      <c r="C309" s="14">
        <v>53800</v>
      </c>
      <c r="D309" s="4"/>
      <c r="E309" s="4"/>
      <c r="F309" s="14"/>
      <c r="G309" s="4"/>
      <c r="H309" s="4"/>
      <c r="I309" s="4"/>
      <c r="J309" s="14"/>
      <c r="K309" s="14"/>
      <c r="L309" s="14"/>
      <c r="M309" s="14"/>
      <c r="N309" s="14"/>
      <c r="O309" s="14">
        <v>3371</v>
      </c>
      <c r="P309" s="14">
        <v>19871</v>
      </c>
      <c r="Q309" s="14">
        <v>43671</v>
      </c>
      <c r="R309" s="14"/>
      <c r="S309" s="60">
        <f t="shared" si="38"/>
        <v>120713</v>
      </c>
    </row>
    <row r="310" spans="1:19" ht="30">
      <c r="A310" s="93" t="s">
        <v>345</v>
      </c>
      <c r="B310" s="135" t="s">
        <v>346</v>
      </c>
      <c r="C310" s="4">
        <v>1607937</v>
      </c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14"/>
      <c r="O310" s="4"/>
      <c r="P310" s="14"/>
      <c r="Q310" s="14"/>
      <c r="R310" s="14"/>
      <c r="S310" s="60">
        <f t="shared" si="38"/>
        <v>1607937</v>
      </c>
    </row>
    <row r="311" spans="1:19" ht="15">
      <c r="A311" s="93" t="s">
        <v>116</v>
      </c>
      <c r="B311" s="100" t="s">
        <v>617</v>
      </c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>
        <v>55422</v>
      </c>
      <c r="Q311" s="14"/>
      <c r="R311" s="14"/>
      <c r="S311" s="60">
        <f t="shared" si="38"/>
        <v>55422</v>
      </c>
    </row>
    <row r="312" spans="1:19" ht="19.5" customHeight="1">
      <c r="A312" s="138" t="s">
        <v>572</v>
      </c>
      <c r="B312" s="174" t="s">
        <v>573</v>
      </c>
      <c r="C312" s="14"/>
      <c r="D312" s="14"/>
      <c r="E312" s="14"/>
      <c r="F312" s="14">
        <f aca="true" t="shared" si="41" ref="F312:N312">SUM(F315:F316)</f>
        <v>0</v>
      </c>
      <c r="G312" s="14">
        <f t="shared" si="41"/>
        <v>0</v>
      </c>
      <c r="H312" s="14">
        <f t="shared" si="41"/>
        <v>0</v>
      </c>
      <c r="I312" s="14">
        <f t="shared" si="41"/>
        <v>0</v>
      </c>
      <c r="J312" s="14">
        <f t="shared" si="41"/>
        <v>0</v>
      </c>
      <c r="K312" s="14">
        <f t="shared" si="41"/>
        <v>0</v>
      </c>
      <c r="L312" s="14">
        <f t="shared" si="41"/>
        <v>0</v>
      </c>
      <c r="M312" s="14">
        <f t="shared" si="41"/>
        <v>0</v>
      </c>
      <c r="N312" s="14">
        <f t="shared" si="41"/>
        <v>0</v>
      </c>
      <c r="O312" s="14">
        <f>SUM(O313:O316)</f>
        <v>87317</v>
      </c>
      <c r="P312" s="14">
        <f>SUM(P313:P316)</f>
        <v>40850</v>
      </c>
      <c r="Q312" s="14">
        <f>SUM(Q313:Q316)</f>
        <v>0</v>
      </c>
      <c r="R312" s="14"/>
      <c r="S312" s="60">
        <f t="shared" si="38"/>
        <v>128167</v>
      </c>
    </row>
    <row r="313" spans="1:19" ht="30">
      <c r="A313" s="102" t="s">
        <v>660</v>
      </c>
      <c r="B313" s="96" t="s">
        <v>618</v>
      </c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>
        <v>5850</v>
      </c>
      <c r="Q313" s="14"/>
      <c r="R313" s="14"/>
      <c r="S313" s="60">
        <f t="shared" si="38"/>
        <v>5850</v>
      </c>
    </row>
    <row r="314" spans="1:19" ht="19.5" customHeight="1">
      <c r="A314" s="102" t="s">
        <v>660</v>
      </c>
      <c r="B314" s="96" t="s">
        <v>619</v>
      </c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>
        <v>35000</v>
      </c>
      <c r="Q314" s="14"/>
      <c r="R314" s="14"/>
      <c r="S314" s="60">
        <f t="shared" si="38"/>
        <v>35000</v>
      </c>
    </row>
    <row r="315" spans="1:19" ht="15">
      <c r="A315" s="102" t="s">
        <v>572</v>
      </c>
      <c r="B315" s="8" t="s">
        <v>574</v>
      </c>
      <c r="C315" s="14"/>
      <c r="D315" s="14"/>
      <c r="E315" s="14"/>
      <c r="F315" s="4"/>
      <c r="G315" s="4"/>
      <c r="H315" s="4"/>
      <c r="I315" s="4"/>
      <c r="J315" s="14"/>
      <c r="K315" s="14"/>
      <c r="L315" s="14"/>
      <c r="M315" s="14"/>
      <c r="N315" s="14"/>
      <c r="O315" s="14">
        <v>25317</v>
      </c>
      <c r="P315" s="14"/>
      <c r="Q315" s="14"/>
      <c r="R315" s="14"/>
      <c r="S315" s="60">
        <f t="shared" si="38"/>
        <v>25317</v>
      </c>
    </row>
    <row r="316" spans="1:19" ht="15.75" thickBot="1">
      <c r="A316" s="111" t="s">
        <v>572</v>
      </c>
      <c r="B316" s="8" t="s">
        <v>575</v>
      </c>
      <c r="C316" s="17"/>
      <c r="D316" s="17"/>
      <c r="E316" s="17"/>
      <c r="F316" s="85"/>
      <c r="G316" s="85"/>
      <c r="H316" s="85"/>
      <c r="I316" s="85"/>
      <c r="J316" s="17"/>
      <c r="K316" s="17"/>
      <c r="L316" s="17"/>
      <c r="M316" s="17"/>
      <c r="N316" s="17"/>
      <c r="O316" s="175">
        <v>62000</v>
      </c>
      <c r="P316" s="17"/>
      <c r="Q316" s="176"/>
      <c r="R316" s="177"/>
      <c r="S316" s="75">
        <f t="shared" si="38"/>
        <v>62000</v>
      </c>
    </row>
    <row r="317" spans="1:19" ht="15.75" thickBot="1">
      <c r="A317" s="178"/>
      <c r="B317" s="47" t="s">
        <v>19</v>
      </c>
      <c r="C317" s="48">
        <f aca="true" t="shared" si="42" ref="C317:R317">C8+C21+C28+C81+C96+C136+C144+C183+C293</f>
        <v>59714371</v>
      </c>
      <c r="D317" s="48">
        <f t="shared" si="42"/>
        <v>3310889</v>
      </c>
      <c r="E317" s="48">
        <f t="shared" si="42"/>
        <v>1467842</v>
      </c>
      <c r="F317" s="78">
        <f t="shared" si="42"/>
        <v>396142</v>
      </c>
      <c r="G317" s="78">
        <f t="shared" si="42"/>
        <v>1742959</v>
      </c>
      <c r="H317" s="78">
        <f t="shared" si="42"/>
        <v>444241</v>
      </c>
      <c r="I317" s="78">
        <f t="shared" si="42"/>
        <v>965481</v>
      </c>
      <c r="J317" s="48">
        <f t="shared" si="42"/>
        <v>2969840</v>
      </c>
      <c r="K317" s="48">
        <f t="shared" si="42"/>
        <v>386097</v>
      </c>
      <c r="L317" s="48">
        <f t="shared" si="42"/>
        <v>360600</v>
      </c>
      <c r="M317" s="48">
        <f t="shared" si="42"/>
        <v>341754</v>
      </c>
      <c r="N317" s="48">
        <f t="shared" si="42"/>
        <v>963046</v>
      </c>
      <c r="O317" s="48">
        <f t="shared" si="42"/>
        <v>7360666</v>
      </c>
      <c r="P317" s="48">
        <f t="shared" si="42"/>
        <v>17429314</v>
      </c>
      <c r="Q317" s="78">
        <f t="shared" si="42"/>
        <v>14261131</v>
      </c>
      <c r="R317" s="78">
        <f t="shared" si="42"/>
        <v>324838</v>
      </c>
      <c r="S317" s="49">
        <f>SUM(C317:R317)</f>
        <v>112439211</v>
      </c>
    </row>
    <row r="318" spans="1:19" ht="15">
      <c r="A318" s="25" t="s">
        <v>661</v>
      </c>
      <c r="B318" s="35" t="s">
        <v>662</v>
      </c>
      <c r="C318" s="31">
        <f>3066633+850197+329094+256265+311186</f>
        <v>4813375</v>
      </c>
      <c r="D318" s="31"/>
      <c r="E318" s="31"/>
      <c r="F318" s="74"/>
      <c r="G318" s="74"/>
      <c r="H318" s="31"/>
      <c r="I318" s="31"/>
      <c r="J318" s="31"/>
      <c r="K318" s="31"/>
      <c r="L318" s="31"/>
      <c r="M318" s="31"/>
      <c r="N318" s="31"/>
      <c r="O318" s="31">
        <v>697721</v>
      </c>
      <c r="P318" s="31">
        <v>897664</v>
      </c>
      <c r="Q318" s="31">
        <v>305757</v>
      </c>
      <c r="R318" s="31"/>
      <c r="S318" s="74">
        <f>SUM(C318:R318)</f>
        <v>6714517</v>
      </c>
    </row>
    <row r="319" spans="1:19" ht="29.25">
      <c r="A319" s="25" t="s">
        <v>620</v>
      </c>
      <c r="B319" s="179" t="s">
        <v>646</v>
      </c>
      <c r="C319" s="31"/>
      <c r="D319" s="31"/>
      <c r="E319" s="31"/>
      <c r="F319" s="74"/>
      <c r="G319" s="31"/>
      <c r="H319" s="31"/>
      <c r="I319" s="31"/>
      <c r="J319" s="31"/>
      <c r="K319" s="31"/>
      <c r="L319" s="31"/>
      <c r="M319" s="31"/>
      <c r="N319" s="31"/>
      <c r="O319" s="31"/>
      <c r="P319" s="27">
        <v>2309557</v>
      </c>
      <c r="Q319" s="31"/>
      <c r="R319" s="31"/>
      <c r="S319" s="74">
        <f>SUM(C319:R319)</f>
        <v>2309557</v>
      </c>
    </row>
    <row r="320" spans="1:19" ht="29.25">
      <c r="A320" s="25" t="s">
        <v>620</v>
      </c>
      <c r="B320" s="179" t="s">
        <v>645</v>
      </c>
      <c r="C320" s="27"/>
      <c r="D320" s="27"/>
      <c r="E320" s="27"/>
      <c r="F320" s="17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>
        <v>65000</v>
      </c>
      <c r="R320" s="27"/>
      <c r="S320" s="74">
        <f>SUM(C320:R320)</f>
        <v>65000</v>
      </c>
    </row>
    <row r="321" spans="1:19" ht="30">
      <c r="A321" s="180" t="s">
        <v>276</v>
      </c>
      <c r="B321" s="145" t="s">
        <v>289</v>
      </c>
      <c r="C321" s="27">
        <f>800000-218000-123327+50000-20000</f>
        <v>488673</v>
      </c>
      <c r="D321" s="27">
        <v>1667281</v>
      </c>
      <c r="E321" s="27"/>
      <c r="F321" s="177">
        <v>61724</v>
      </c>
      <c r="G321" s="27">
        <f>52382-18512</f>
        <v>33870</v>
      </c>
      <c r="H321" s="27">
        <v>19204</v>
      </c>
      <c r="I321" s="27"/>
      <c r="J321" s="27">
        <v>18110</v>
      </c>
      <c r="K321" s="27"/>
      <c r="L321" s="27">
        <f>12954-58</f>
        <v>12896</v>
      </c>
      <c r="M321" s="27">
        <f>28468-5400</f>
        <v>23068</v>
      </c>
      <c r="N321" s="27">
        <v>30576</v>
      </c>
      <c r="O321" s="27">
        <v>87072</v>
      </c>
      <c r="P321" s="27">
        <v>150000</v>
      </c>
      <c r="Q321" s="27"/>
      <c r="R321" s="27"/>
      <c r="S321" s="74">
        <f>SUM(C321:Q321)</f>
        <v>2592474</v>
      </c>
    </row>
    <row r="322" spans="1:19" ht="30">
      <c r="A322" s="161" t="s">
        <v>255</v>
      </c>
      <c r="B322" s="181" t="s">
        <v>256</v>
      </c>
      <c r="C322" s="74">
        <v>17269591</v>
      </c>
      <c r="D322" s="74">
        <v>-837623</v>
      </c>
      <c r="E322" s="74">
        <v>-1081958</v>
      </c>
      <c r="F322" s="74">
        <v>-87615</v>
      </c>
      <c r="G322" s="74">
        <v>-1328384</v>
      </c>
      <c r="H322" s="74">
        <v>-256794</v>
      </c>
      <c r="I322" s="74">
        <v>-624625</v>
      </c>
      <c r="J322" s="74">
        <v>-1644313</v>
      </c>
      <c r="K322" s="74">
        <v>-212971</v>
      </c>
      <c r="L322" s="74">
        <v>-211074</v>
      </c>
      <c r="M322" s="74">
        <v>-244307</v>
      </c>
      <c r="N322" s="74">
        <v>-808383</v>
      </c>
      <c r="O322" s="74">
        <v>-1950415</v>
      </c>
      <c r="P322" s="74">
        <v>-3698751</v>
      </c>
      <c r="Q322" s="74">
        <v>-4132378</v>
      </c>
      <c r="R322" s="74">
        <v>-150000</v>
      </c>
      <c r="S322" s="74">
        <v>0</v>
      </c>
    </row>
    <row r="323" spans="1:19" ht="15">
      <c r="A323" s="27"/>
      <c r="B323" s="182"/>
      <c r="C323" s="74"/>
      <c r="D323" s="74"/>
      <c r="E323" s="74"/>
      <c r="F323" s="74"/>
      <c r="G323" s="74"/>
      <c r="H323" s="74"/>
      <c r="I323" s="74"/>
      <c r="J323" s="74"/>
      <c r="K323" s="74"/>
      <c r="L323" s="74"/>
      <c r="M323" s="74"/>
      <c r="N323" s="74"/>
      <c r="O323" s="74"/>
      <c r="P323" s="74"/>
      <c r="Q323" s="74"/>
      <c r="R323" s="74"/>
      <c r="S323" s="74"/>
    </row>
    <row r="324" spans="1:19" ht="15">
      <c r="A324" s="27"/>
      <c r="B324" s="183" t="s">
        <v>273</v>
      </c>
      <c r="C324" s="27"/>
      <c r="D324" s="27" t="s">
        <v>20</v>
      </c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31"/>
    </row>
    <row r="325" spans="1:19" ht="15">
      <c r="A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31"/>
    </row>
    <row r="326" spans="1:19" ht="15">
      <c r="A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31"/>
    </row>
    <row r="327" spans="1:19" ht="15">
      <c r="A327" s="177"/>
      <c r="B327" s="35"/>
      <c r="C327" s="74"/>
      <c r="D327" s="74"/>
      <c r="E327" s="74"/>
      <c r="F327" s="74"/>
      <c r="G327" s="184"/>
      <c r="H327" s="177"/>
      <c r="I327" s="27"/>
      <c r="J327" s="177"/>
      <c r="K327" s="177"/>
      <c r="L327" s="177"/>
      <c r="M327" s="27"/>
      <c r="N327" s="27"/>
      <c r="O327" s="27"/>
      <c r="P327" s="27"/>
      <c r="Q327" s="177"/>
      <c r="R327" s="177"/>
      <c r="S327" s="177"/>
    </row>
    <row r="328" spans="1:19" ht="15">
      <c r="A328" s="177"/>
      <c r="B328" s="35"/>
      <c r="C328" s="74"/>
      <c r="D328" s="74"/>
      <c r="E328" s="74"/>
      <c r="F328" s="74"/>
      <c r="G328" s="184"/>
      <c r="H328" s="177"/>
      <c r="I328" s="27"/>
      <c r="J328" s="177"/>
      <c r="K328" s="177"/>
      <c r="L328" s="177"/>
      <c r="M328" s="27"/>
      <c r="N328" s="27"/>
      <c r="O328" s="27"/>
      <c r="P328" s="27"/>
      <c r="Q328" s="177"/>
      <c r="R328" s="177"/>
      <c r="S328" s="177"/>
    </row>
    <row r="329" spans="1:19" ht="44.25" customHeight="1" thickBot="1">
      <c r="A329" s="290" t="s">
        <v>535</v>
      </c>
      <c r="B329" s="290"/>
      <c r="C329" s="290"/>
      <c r="D329" s="290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31"/>
    </row>
    <row r="330" spans="1:19" ht="135.75" thickBot="1">
      <c r="A330" s="36" t="s">
        <v>9</v>
      </c>
      <c r="B330" s="37" t="s">
        <v>126</v>
      </c>
      <c r="C330" s="38" t="s">
        <v>485</v>
      </c>
      <c r="D330" s="39" t="s">
        <v>486</v>
      </c>
      <c r="E330" s="38" t="s">
        <v>487</v>
      </c>
      <c r="F330" s="38" t="s">
        <v>488</v>
      </c>
      <c r="G330" s="40" t="s">
        <v>489</v>
      </c>
      <c r="H330" s="40" t="s">
        <v>490</v>
      </c>
      <c r="I330" s="40" t="s">
        <v>491</v>
      </c>
      <c r="J330" s="40" t="s">
        <v>492</v>
      </c>
      <c r="K330" s="40" t="s">
        <v>493</v>
      </c>
      <c r="L330" s="40" t="s">
        <v>494</v>
      </c>
      <c r="M330" s="40" t="s">
        <v>495</v>
      </c>
      <c r="N330" s="41" t="s">
        <v>496</v>
      </c>
      <c r="O330" s="42" t="s">
        <v>670</v>
      </c>
      <c r="P330" s="42" t="s">
        <v>671</v>
      </c>
      <c r="Q330" s="43" t="s">
        <v>622</v>
      </c>
      <c r="R330" s="44" t="s">
        <v>647</v>
      </c>
      <c r="S330" s="45" t="s">
        <v>497</v>
      </c>
    </row>
    <row r="331" spans="1:19" ht="15">
      <c r="A331" s="185">
        <v>1100</v>
      </c>
      <c r="B331" s="186" t="s">
        <v>170</v>
      </c>
      <c r="C331" s="12">
        <f>12311754+409816+1150166+14062</f>
        <v>13885798</v>
      </c>
      <c r="D331" s="187">
        <v>976018</v>
      </c>
      <c r="E331" s="12">
        <v>715507</v>
      </c>
      <c r="F331" s="12">
        <v>70204</v>
      </c>
      <c r="G331" s="188">
        <v>905380</v>
      </c>
      <c r="H331" s="12">
        <v>127630</v>
      </c>
      <c r="I331" s="12">
        <v>452871</v>
      </c>
      <c r="J331" s="12">
        <v>1443277</v>
      </c>
      <c r="K331" s="12">
        <v>127381</v>
      </c>
      <c r="L331" s="12">
        <v>149012</v>
      </c>
      <c r="M331" s="12">
        <v>133007</v>
      </c>
      <c r="N331" s="189">
        <v>573729</v>
      </c>
      <c r="O331" s="12">
        <v>2939600</v>
      </c>
      <c r="P331" s="4">
        <v>5466983</v>
      </c>
      <c r="Q331" s="190">
        <v>5632869</v>
      </c>
      <c r="R331" s="191">
        <v>81407</v>
      </c>
      <c r="S331" s="192">
        <f>SUM(C331:R331)</f>
        <v>33680673</v>
      </c>
    </row>
    <row r="332" spans="1:19" ht="45">
      <c r="A332" s="193">
        <v>1200</v>
      </c>
      <c r="B332" s="24" t="s">
        <v>257</v>
      </c>
      <c r="C332" s="4">
        <f>3566909+96680+277429+3317</f>
        <v>3944335</v>
      </c>
      <c r="D332" s="194">
        <v>230244</v>
      </c>
      <c r="E332" s="4">
        <v>200680</v>
      </c>
      <c r="F332" s="4">
        <v>20766</v>
      </c>
      <c r="G332" s="122">
        <v>266471</v>
      </c>
      <c r="H332" s="4">
        <v>43256</v>
      </c>
      <c r="I332" s="4">
        <v>133816</v>
      </c>
      <c r="J332" s="4">
        <v>419539</v>
      </c>
      <c r="K332" s="4">
        <v>38008</v>
      </c>
      <c r="L332" s="4">
        <v>43754</v>
      </c>
      <c r="M332" s="4">
        <v>38871</v>
      </c>
      <c r="N332" s="69">
        <v>173480</v>
      </c>
      <c r="O332" s="4">
        <v>778014</v>
      </c>
      <c r="P332" s="4">
        <v>1597177</v>
      </c>
      <c r="Q332" s="4">
        <v>1607335</v>
      </c>
      <c r="R332" s="195">
        <v>24273</v>
      </c>
      <c r="S332" s="60">
        <f>SUM(C332:R332)</f>
        <v>9560019</v>
      </c>
    </row>
    <row r="333" spans="1:19" ht="15">
      <c r="A333" s="193">
        <v>2000</v>
      </c>
      <c r="B333" s="24" t="s">
        <v>156</v>
      </c>
      <c r="C333" s="4">
        <f aca="true" t="shared" si="43" ref="C333:R333">SUM(C334:C338)</f>
        <v>7003779</v>
      </c>
      <c r="D333" s="4">
        <f t="shared" si="43"/>
        <v>1504951</v>
      </c>
      <c r="E333" s="4">
        <f t="shared" si="43"/>
        <v>447478</v>
      </c>
      <c r="F333" s="4">
        <f t="shared" si="43"/>
        <v>276000</v>
      </c>
      <c r="G333" s="9">
        <f t="shared" si="43"/>
        <v>534397</v>
      </c>
      <c r="H333" s="4">
        <f t="shared" si="43"/>
        <v>261374</v>
      </c>
      <c r="I333" s="4">
        <f t="shared" si="43"/>
        <v>363967</v>
      </c>
      <c r="J333" s="4">
        <f t="shared" si="43"/>
        <v>824311</v>
      </c>
      <c r="K333" s="4">
        <f t="shared" si="43"/>
        <v>210339</v>
      </c>
      <c r="L333" s="4">
        <f t="shared" si="43"/>
        <v>106858</v>
      </c>
      <c r="M333" s="4">
        <f t="shared" si="43"/>
        <v>149428</v>
      </c>
      <c r="N333" s="4">
        <f t="shared" si="43"/>
        <v>193827</v>
      </c>
      <c r="O333" s="4">
        <f t="shared" si="43"/>
        <v>2137680</v>
      </c>
      <c r="P333" s="4">
        <f t="shared" si="43"/>
        <v>3211936</v>
      </c>
      <c r="Q333" s="4">
        <f t="shared" si="43"/>
        <v>2822210</v>
      </c>
      <c r="R333" s="195">
        <f t="shared" si="43"/>
        <v>89836</v>
      </c>
      <c r="S333" s="60">
        <f>SUM(C333:R333)</f>
        <v>20138371</v>
      </c>
    </row>
    <row r="334" spans="1:19" ht="30">
      <c r="A334" s="193">
        <v>2100</v>
      </c>
      <c r="B334" s="24" t="s">
        <v>286</v>
      </c>
      <c r="C334" s="4">
        <f>164403-8000</f>
        <v>156403</v>
      </c>
      <c r="D334" s="4">
        <v>2500</v>
      </c>
      <c r="E334" s="4"/>
      <c r="F334" s="4"/>
      <c r="G334" s="9">
        <v>680</v>
      </c>
      <c r="H334" s="4">
        <v>30</v>
      </c>
      <c r="I334" s="4">
        <v>70</v>
      </c>
      <c r="J334" s="4">
        <v>1290</v>
      </c>
      <c r="K334" s="4"/>
      <c r="L334" s="4">
        <v>30</v>
      </c>
      <c r="M334" s="4">
        <v>600</v>
      </c>
      <c r="N334" s="69">
        <v>250</v>
      </c>
      <c r="O334" s="4">
        <v>6406</v>
      </c>
      <c r="P334" s="4">
        <v>83208</v>
      </c>
      <c r="Q334" s="4">
        <v>29460</v>
      </c>
      <c r="R334" s="195">
        <v>650</v>
      </c>
      <c r="S334" s="60">
        <f>SUM(C334:R334)</f>
        <v>281577</v>
      </c>
    </row>
    <row r="335" spans="1:19" ht="15">
      <c r="A335" s="193">
        <v>2200</v>
      </c>
      <c r="B335" s="24" t="s">
        <v>157</v>
      </c>
      <c r="C335" s="4">
        <f>5961426-6000-620604+11000+20000+32227</f>
        <v>5398049</v>
      </c>
      <c r="D335" s="4">
        <v>1027634</v>
      </c>
      <c r="E335" s="4">
        <v>348501</v>
      </c>
      <c r="F335" s="4">
        <f>248498+8300</f>
        <v>256798</v>
      </c>
      <c r="G335" s="9">
        <v>289551</v>
      </c>
      <c r="H335" s="4">
        <v>217406</v>
      </c>
      <c r="I335" s="4">
        <f>277436-14834</f>
        <v>262602</v>
      </c>
      <c r="J335" s="4">
        <v>511053</v>
      </c>
      <c r="K335" s="4">
        <f>151563-46</f>
        <v>151517</v>
      </c>
      <c r="L335" s="4">
        <f>79430</f>
        <v>79430</v>
      </c>
      <c r="M335" s="4">
        <v>120978</v>
      </c>
      <c r="N335" s="69">
        <v>88694</v>
      </c>
      <c r="O335" s="4">
        <v>1457401</v>
      </c>
      <c r="P335" s="4">
        <v>2109515</v>
      </c>
      <c r="Q335" s="4">
        <v>2068760</v>
      </c>
      <c r="R335" s="195">
        <f>76438-3000</f>
        <v>73438</v>
      </c>
      <c r="S335" s="60">
        <f aca="true" t="shared" si="44" ref="S335:S348">SUM(C335:R335)</f>
        <v>14461327</v>
      </c>
    </row>
    <row r="336" spans="1:19" ht="30">
      <c r="A336" s="193">
        <v>2300</v>
      </c>
      <c r="B336" s="24" t="s">
        <v>158</v>
      </c>
      <c r="C336" s="4">
        <f>1217460+134590+29000</f>
        <v>1381050</v>
      </c>
      <c r="D336" s="4">
        <v>208633</v>
      </c>
      <c r="E336" s="4">
        <v>93977</v>
      </c>
      <c r="F336" s="4">
        <v>8742</v>
      </c>
      <c r="G336" s="9">
        <f>232966+9000</f>
        <v>241966</v>
      </c>
      <c r="H336" s="4">
        <v>37386</v>
      </c>
      <c r="I336" s="4">
        <v>96265</v>
      </c>
      <c r="J336" s="4">
        <v>298886</v>
      </c>
      <c r="K336" s="4">
        <v>55848</v>
      </c>
      <c r="L336" s="4">
        <v>25278</v>
      </c>
      <c r="M336" s="4">
        <v>26550</v>
      </c>
      <c r="N336" s="69">
        <v>97153</v>
      </c>
      <c r="O336" s="4">
        <v>649213</v>
      </c>
      <c r="P336" s="4">
        <v>986378</v>
      </c>
      <c r="Q336" s="4">
        <v>703487</v>
      </c>
      <c r="R336" s="195">
        <f>17333-1835</f>
        <v>15498</v>
      </c>
      <c r="S336" s="60">
        <f t="shared" si="44"/>
        <v>4926310</v>
      </c>
    </row>
    <row r="337" spans="1:19" ht="15">
      <c r="A337" s="193">
        <v>2400</v>
      </c>
      <c r="B337" s="24" t="s">
        <v>159</v>
      </c>
      <c r="C337" s="4">
        <v>5420</v>
      </c>
      <c r="D337" s="4"/>
      <c r="E337" s="4"/>
      <c r="F337" s="4"/>
      <c r="G337" s="9">
        <v>1900</v>
      </c>
      <c r="H337" s="4">
        <v>460</v>
      </c>
      <c r="I337" s="4">
        <v>500</v>
      </c>
      <c r="J337" s="4">
        <v>1130</v>
      </c>
      <c r="K337" s="4">
        <v>1280</v>
      </c>
      <c r="L337" s="4">
        <v>850</v>
      </c>
      <c r="M337" s="4">
        <v>800</v>
      </c>
      <c r="N337" s="69">
        <v>1730</v>
      </c>
      <c r="O337" s="4">
        <v>3430</v>
      </c>
      <c r="P337" s="4">
        <v>6283</v>
      </c>
      <c r="Q337" s="4">
        <v>3860</v>
      </c>
      <c r="R337" s="195">
        <v>0</v>
      </c>
      <c r="S337" s="60">
        <f t="shared" si="44"/>
        <v>27643</v>
      </c>
    </row>
    <row r="338" spans="1:19" ht="15">
      <c r="A338" s="193">
        <v>2500</v>
      </c>
      <c r="B338" s="24" t="s">
        <v>160</v>
      </c>
      <c r="C338" s="4">
        <v>62857</v>
      </c>
      <c r="D338" s="4">
        <v>266184</v>
      </c>
      <c r="E338" s="4">
        <v>5000</v>
      </c>
      <c r="F338" s="4">
        <f>10360+100</f>
        <v>10460</v>
      </c>
      <c r="G338" s="9">
        <v>300</v>
      </c>
      <c r="H338" s="4">
        <v>6092</v>
      </c>
      <c r="I338" s="4">
        <v>4530</v>
      </c>
      <c r="J338" s="4">
        <v>11952</v>
      </c>
      <c r="K338" s="4">
        <v>1694</v>
      </c>
      <c r="L338" s="4">
        <v>1270</v>
      </c>
      <c r="M338" s="4">
        <v>500</v>
      </c>
      <c r="N338" s="69">
        <v>6000</v>
      </c>
      <c r="O338" s="4">
        <v>21230</v>
      </c>
      <c r="P338" s="4">
        <v>26552</v>
      </c>
      <c r="Q338" s="4">
        <v>16643</v>
      </c>
      <c r="R338" s="195">
        <v>250</v>
      </c>
      <c r="S338" s="60">
        <f t="shared" si="44"/>
        <v>441514</v>
      </c>
    </row>
    <row r="339" spans="1:19" ht="30">
      <c r="A339" s="193">
        <v>3200</v>
      </c>
      <c r="B339" s="24" t="s">
        <v>258</v>
      </c>
      <c r="C339" s="4">
        <f>2342895+6000+100862</f>
        <v>2449757</v>
      </c>
      <c r="D339" s="4"/>
      <c r="E339" s="4"/>
      <c r="F339" s="4"/>
      <c r="G339" s="9"/>
      <c r="H339" s="4"/>
      <c r="I339" s="4"/>
      <c r="J339" s="4"/>
      <c r="K339" s="4"/>
      <c r="L339" s="4"/>
      <c r="M339" s="4"/>
      <c r="N339" s="69"/>
      <c r="O339" s="4">
        <v>55435</v>
      </c>
      <c r="P339" s="4">
        <v>447661</v>
      </c>
      <c r="Q339" s="4">
        <v>1087293</v>
      </c>
      <c r="R339" s="195"/>
      <c r="S339" s="60">
        <f t="shared" si="44"/>
        <v>4040146</v>
      </c>
    </row>
    <row r="340" spans="1:19" ht="15">
      <c r="A340" s="193">
        <v>4200</v>
      </c>
      <c r="B340" s="24" t="s">
        <v>432</v>
      </c>
      <c r="C340" s="4"/>
      <c r="D340" s="4"/>
      <c r="E340" s="4"/>
      <c r="F340" s="4"/>
      <c r="G340" s="9"/>
      <c r="H340" s="4"/>
      <c r="I340" s="4"/>
      <c r="J340" s="4"/>
      <c r="K340" s="4"/>
      <c r="L340" s="4"/>
      <c r="M340" s="4"/>
      <c r="N340" s="69"/>
      <c r="O340" s="4"/>
      <c r="P340" s="4"/>
      <c r="Q340" s="4"/>
      <c r="R340" s="195"/>
      <c r="S340" s="60">
        <f t="shared" si="44"/>
        <v>0</v>
      </c>
    </row>
    <row r="341" spans="1:19" ht="15">
      <c r="A341" s="193">
        <v>4300</v>
      </c>
      <c r="B341" s="24" t="s">
        <v>161</v>
      </c>
      <c r="C341" s="4">
        <f>80000+22804</f>
        <v>102804</v>
      </c>
      <c r="D341" s="4"/>
      <c r="E341" s="4"/>
      <c r="F341" s="4"/>
      <c r="G341" s="9"/>
      <c r="H341" s="4"/>
      <c r="I341" s="4"/>
      <c r="J341" s="4"/>
      <c r="K341" s="4"/>
      <c r="L341" s="4"/>
      <c r="M341" s="4"/>
      <c r="N341" s="69"/>
      <c r="O341" s="4">
        <v>1950</v>
      </c>
      <c r="P341" s="4">
        <v>13699</v>
      </c>
      <c r="Q341" s="4">
        <v>1735</v>
      </c>
      <c r="R341" s="195"/>
      <c r="S341" s="60">
        <f t="shared" si="44"/>
        <v>120188</v>
      </c>
    </row>
    <row r="342" spans="1:19" ht="15">
      <c r="A342" s="193">
        <v>5100</v>
      </c>
      <c r="B342" s="24" t="s">
        <v>120</v>
      </c>
      <c r="C342" s="4">
        <f>35480+826</f>
        <v>36306</v>
      </c>
      <c r="D342" s="4"/>
      <c r="E342" s="4">
        <v>5168</v>
      </c>
      <c r="F342" s="4"/>
      <c r="G342" s="9"/>
      <c r="H342" s="4"/>
      <c r="I342" s="4">
        <v>200</v>
      </c>
      <c r="J342" s="4"/>
      <c r="K342" s="4"/>
      <c r="L342" s="4"/>
      <c r="M342" s="4"/>
      <c r="N342" s="69"/>
      <c r="O342" s="4">
        <v>3898</v>
      </c>
      <c r="P342" s="4">
        <v>3270</v>
      </c>
      <c r="Q342" s="4">
        <v>36259</v>
      </c>
      <c r="R342" s="195">
        <v>200</v>
      </c>
      <c r="S342" s="60">
        <f t="shared" si="44"/>
        <v>85301</v>
      </c>
    </row>
    <row r="343" spans="1:19" ht="15">
      <c r="A343" s="193">
        <v>5200</v>
      </c>
      <c r="B343" s="24" t="s">
        <v>162</v>
      </c>
      <c r="C343" s="4">
        <f>29668013-667653+900890</f>
        <v>29901250</v>
      </c>
      <c r="D343" s="4">
        <v>599676</v>
      </c>
      <c r="E343" s="4">
        <v>99009</v>
      </c>
      <c r="F343" s="4">
        <v>29172</v>
      </c>
      <c r="G343" s="9">
        <v>33991</v>
      </c>
      <c r="H343" s="4">
        <v>7591</v>
      </c>
      <c r="I343" s="4">
        <v>12027</v>
      </c>
      <c r="J343" s="4">
        <v>279563</v>
      </c>
      <c r="K343" s="4">
        <f>7969</f>
        <v>7969</v>
      </c>
      <c r="L343" s="4">
        <v>58576</v>
      </c>
      <c r="M343" s="4">
        <v>18048</v>
      </c>
      <c r="N343" s="69">
        <v>19500</v>
      </c>
      <c r="O343" s="4">
        <v>988008</v>
      </c>
      <c r="P343" s="4">
        <v>5832672</v>
      </c>
      <c r="Q343" s="4">
        <v>1877537</v>
      </c>
      <c r="R343" s="195">
        <f>174287-45165</f>
        <v>129122</v>
      </c>
      <c r="S343" s="60">
        <f t="shared" si="44"/>
        <v>39893711</v>
      </c>
    </row>
    <row r="344" spans="1:19" ht="15">
      <c r="A344" s="193">
        <v>6200</v>
      </c>
      <c r="B344" s="24" t="s">
        <v>163</v>
      </c>
      <c r="C344" s="4">
        <f>554293+16690</f>
        <v>570983</v>
      </c>
      <c r="D344" s="4"/>
      <c r="E344" s="4"/>
      <c r="F344" s="4"/>
      <c r="G344" s="9">
        <v>2390</v>
      </c>
      <c r="H344" s="4">
        <v>2390</v>
      </c>
      <c r="I344" s="4">
        <v>2390</v>
      </c>
      <c r="J344" s="4">
        <v>2390</v>
      </c>
      <c r="K344" s="4">
        <v>2400</v>
      </c>
      <c r="L344" s="4">
        <v>2400</v>
      </c>
      <c r="M344" s="4">
        <v>2400</v>
      </c>
      <c r="N344" s="69">
        <v>2390</v>
      </c>
      <c r="O344" s="4">
        <v>43428</v>
      </c>
      <c r="P344" s="4">
        <v>216742</v>
      </c>
      <c r="Q344" s="4">
        <v>61682</v>
      </c>
      <c r="R344" s="195"/>
      <c r="S344" s="60">
        <f t="shared" si="44"/>
        <v>911985</v>
      </c>
    </row>
    <row r="345" spans="1:19" ht="15">
      <c r="A345" s="193">
        <v>6300</v>
      </c>
      <c r="B345" s="24" t="s">
        <v>164</v>
      </c>
      <c r="C345" s="4">
        <f>240112+56000</f>
        <v>296112</v>
      </c>
      <c r="D345" s="4"/>
      <c r="E345" s="4"/>
      <c r="F345" s="4"/>
      <c r="G345" s="9"/>
      <c r="H345" s="4">
        <v>2000</v>
      </c>
      <c r="I345" s="4">
        <f>600-600</f>
        <v>0</v>
      </c>
      <c r="J345" s="4"/>
      <c r="K345" s="4"/>
      <c r="L345" s="4"/>
      <c r="M345" s="4"/>
      <c r="N345" s="69"/>
      <c r="O345" s="4">
        <v>12060</v>
      </c>
      <c r="P345" s="4">
        <v>22045</v>
      </c>
      <c r="Q345" s="4">
        <v>15000</v>
      </c>
      <c r="R345" s="195"/>
      <c r="S345" s="60">
        <f t="shared" si="44"/>
        <v>347217</v>
      </c>
    </row>
    <row r="346" spans="1:19" ht="30">
      <c r="A346" s="193">
        <v>6400</v>
      </c>
      <c r="B346" s="24" t="s">
        <v>259</v>
      </c>
      <c r="C346" s="4">
        <f>733189-57982</f>
        <v>675207</v>
      </c>
      <c r="D346" s="4"/>
      <c r="E346" s="4"/>
      <c r="F346" s="4"/>
      <c r="G346" s="9">
        <v>330</v>
      </c>
      <c r="H346" s="4"/>
      <c r="I346" s="4">
        <v>210</v>
      </c>
      <c r="J346" s="4">
        <v>760</v>
      </c>
      <c r="K346" s="4"/>
      <c r="L346" s="4"/>
      <c r="M346" s="4"/>
      <c r="N346" s="69">
        <v>120</v>
      </c>
      <c r="O346" s="4">
        <v>144106</v>
      </c>
      <c r="P346" s="4">
        <v>225113</v>
      </c>
      <c r="Q346" s="4">
        <v>285729</v>
      </c>
      <c r="R346" s="195"/>
      <c r="S346" s="60">
        <f t="shared" si="44"/>
        <v>1331575</v>
      </c>
    </row>
    <row r="347" spans="1:19" ht="30">
      <c r="A347" s="193">
        <v>6500</v>
      </c>
      <c r="B347" s="24" t="s">
        <v>287</v>
      </c>
      <c r="C347" s="4">
        <v>500</v>
      </c>
      <c r="D347" s="4"/>
      <c r="E347" s="4"/>
      <c r="F347" s="4"/>
      <c r="G347" s="9"/>
      <c r="H347" s="4"/>
      <c r="I347" s="4"/>
      <c r="J347" s="4"/>
      <c r="K347" s="4"/>
      <c r="L347" s="4"/>
      <c r="M347" s="4"/>
      <c r="N347" s="69"/>
      <c r="O347" s="4">
        <v>3912</v>
      </c>
      <c r="P347" s="4"/>
      <c r="Q347" s="4"/>
      <c r="R347" s="195"/>
      <c r="S347" s="60">
        <f t="shared" si="44"/>
        <v>4412</v>
      </c>
    </row>
    <row r="348" spans="1:19" ht="15.75" thickBot="1">
      <c r="A348" s="193">
        <v>7200</v>
      </c>
      <c r="B348" s="24" t="s">
        <v>260</v>
      </c>
      <c r="C348" s="4">
        <f>895506+2034-50000</f>
        <v>847540</v>
      </c>
      <c r="D348" s="4"/>
      <c r="E348" s="4"/>
      <c r="F348" s="4"/>
      <c r="G348" s="9"/>
      <c r="H348" s="4"/>
      <c r="I348" s="4"/>
      <c r="J348" s="4"/>
      <c r="K348" s="4"/>
      <c r="L348" s="4"/>
      <c r="M348" s="4"/>
      <c r="N348" s="69"/>
      <c r="O348" s="4">
        <v>252575</v>
      </c>
      <c r="P348" s="4">
        <v>392016</v>
      </c>
      <c r="Q348" s="4">
        <v>833482</v>
      </c>
      <c r="R348" s="195"/>
      <c r="S348" s="60">
        <f t="shared" si="44"/>
        <v>2325613</v>
      </c>
    </row>
    <row r="349" spans="1:19" ht="15.75" thickBot="1">
      <c r="A349" s="178"/>
      <c r="B349" s="198" t="s">
        <v>165</v>
      </c>
      <c r="C349" s="199">
        <f aca="true" t="shared" si="45" ref="C349:R349">SUM(C331:C333,C339:C348)</f>
        <v>59714371</v>
      </c>
      <c r="D349" s="199">
        <f t="shared" si="45"/>
        <v>3310889</v>
      </c>
      <c r="E349" s="199">
        <f t="shared" si="45"/>
        <v>1467842</v>
      </c>
      <c r="F349" s="199">
        <f t="shared" si="45"/>
        <v>396142</v>
      </c>
      <c r="G349" s="199">
        <f t="shared" si="45"/>
        <v>1742959</v>
      </c>
      <c r="H349" s="199">
        <f t="shared" si="45"/>
        <v>444241</v>
      </c>
      <c r="I349" s="199">
        <f t="shared" si="45"/>
        <v>965481</v>
      </c>
      <c r="J349" s="199">
        <f t="shared" si="45"/>
        <v>2969840</v>
      </c>
      <c r="K349" s="199">
        <f t="shared" si="45"/>
        <v>386097</v>
      </c>
      <c r="L349" s="199">
        <f t="shared" si="45"/>
        <v>360600</v>
      </c>
      <c r="M349" s="199">
        <f t="shared" si="45"/>
        <v>341754</v>
      </c>
      <c r="N349" s="199">
        <f t="shared" si="45"/>
        <v>963046</v>
      </c>
      <c r="O349" s="199">
        <f t="shared" si="45"/>
        <v>7360666</v>
      </c>
      <c r="P349" s="199">
        <f t="shared" si="45"/>
        <v>17429314</v>
      </c>
      <c r="Q349" s="199">
        <f t="shared" si="45"/>
        <v>14261131</v>
      </c>
      <c r="R349" s="199">
        <f t="shared" si="45"/>
        <v>324838</v>
      </c>
      <c r="S349" s="49">
        <f>SUM(C349:R349)</f>
        <v>112439211</v>
      </c>
    </row>
    <row r="350" spans="2:6" ht="15">
      <c r="B350" s="182"/>
      <c r="C350" s="200"/>
      <c r="D350" s="177"/>
      <c r="E350" s="27"/>
      <c r="F350" s="27"/>
    </row>
    <row r="351" spans="2:19" ht="15">
      <c r="B351" s="182"/>
      <c r="C351" s="200"/>
      <c r="D351" s="177"/>
      <c r="E351" s="27"/>
      <c r="F351" s="27"/>
      <c r="S351" s="31"/>
    </row>
    <row r="352" spans="2:6" ht="15">
      <c r="B352" s="201" t="s">
        <v>273</v>
      </c>
      <c r="C352" s="200"/>
      <c r="D352" s="177"/>
      <c r="E352" s="27" t="s">
        <v>20</v>
      </c>
      <c r="F352" s="27"/>
    </row>
    <row r="357" ht="15">
      <c r="B357" s="201"/>
    </row>
  </sheetData>
  <sheetProtection/>
  <mergeCells count="2">
    <mergeCell ref="A6:D6"/>
    <mergeCell ref="A329:D329"/>
  </mergeCells>
  <printOptions/>
  <pageMargins left="0.4330708661417323" right="0.35433070866141736" top="0.7874015748031497" bottom="0.3937007874015748" header="0.5118110236220472" footer="0.5118110236220472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1"/>
  <sheetViews>
    <sheetView zoomScalePageLayoutView="0" workbookViewId="0" topLeftCell="A1">
      <pane xSplit="1" topLeftCell="B1" activePane="topRight" state="frozen"/>
      <selection pane="topLeft" activeCell="A106" sqref="A106"/>
      <selection pane="topRight" activeCell="N26" sqref="N26"/>
    </sheetView>
  </sheetViews>
  <sheetFormatPr defaultColWidth="9.140625" defaultRowHeight="12.75"/>
  <cols>
    <col min="1" max="1" width="17.57421875" style="264" customWidth="1"/>
    <col min="2" max="2" width="11.28125" style="264" customWidth="1"/>
    <col min="3" max="3" width="9.8515625" style="264" customWidth="1"/>
    <col min="4" max="4" width="11.7109375" style="264" customWidth="1"/>
    <col min="5" max="5" width="9.57421875" style="264" customWidth="1"/>
    <col min="6" max="6" width="9.7109375" style="264" customWidth="1"/>
    <col min="7" max="7" width="9.140625" style="264" customWidth="1"/>
    <col min="8" max="8" width="9.7109375" style="264" customWidth="1"/>
    <col min="9" max="9" width="10.28125" style="264" customWidth="1"/>
    <col min="10" max="10" width="9.421875" style="264" customWidth="1"/>
    <col min="11" max="11" width="10.8515625" style="264" customWidth="1"/>
    <col min="12" max="12" width="9.00390625" style="264" customWidth="1"/>
    <col min="13" max="13" width="8.140625" style="264" customWidth="1"/>
    <col min="14" max="14" width="9.00390625" style="264" customWidth="1"/>
    <col min="15" max="15" width="9.8515625" style="264" customWidth="1"/>
    <col min="16" max="16" width="9.421875" style="264" customWidth="1"/>
    <col min="17" max="18" width="10.421875" style="264" customWidth="1"/>
    <col min="19" max="19" width="9.7109375" style="264" customWidth="1"/>
    <col min="20" max="20" width="10.57421875" style="264" customWidth="1"/>
    <col min="21" max="21" width="9.140625" style="264" customWidth="1"/>
    <col min="22" max="22" width="11.140625" style="264" customWidth="1"/>
    <col min="23" max="23" width="9.421875" style="264" customWidth="1"/>
    <col min="24" max="25" width="8.140625" style="264" customWidth="1"/>
    <col min="26" max="27" width="9.7109375" style="264" customWidth="1"/>
    <col min="28" max="28" width="10.421875" style="264" customWidth="1"/>
    <col min="29" max="29" width="12.57421875" style="264" customWidth="1"/>
    <col min="30" max="30" width="9.140625" style="264" customWidth="1"/>
    <col min="31" max="31" width="11.140625" style="264" customWidth="1"/>
    <col min="32" max="32" width="10.7109375" style="264" customWidth="1"/>
    <col min="33" max="16384" width="9.140625" style="264" customWidth="1"/>
  </cols>
  <sheetData>
    <row r="1" spans="20:23" ht="12.75">
      <c r="T1" s="1" t="s">
        <v>674</v>
      </c>
      <c r="U1"/>
      <c r="V1"/>
      <c r="W1"/>
    </row>
    <row r="2" ht="16.5" thickBot="1">
      <c r="A2" s="263" t="s">
        <v>702</v>
      </c>
    </row>
    <row r="3" spans="1:29" ht="102.75" thickBot="1">
      <c r="A3" s="265"/>
      <c r="B3" s="266" t="s">
        <v>675</v>
      </c>
      <c r="C3" s="267" t="s">
        <v>703</v>
      </c>
      <c r="D3" s="266" t="s">
        <v>676</v>
      </c>
      <c r="E3" s="266" t="s">
        <v>677</v>
      </c>
      <c r="F3" s="266" t="s">
        <v>678</v>
      </c>
      <c r="G3" s="266" t="s">
        <v>679</v>
      </c>
      <c r="H3" s="266" t="s">
        <v>691</v>
      </c>
      <c r="I3" s="268" t="s">
        <v>692</v>
      </c>
      <c r="J3" s="268" t="s">
        <v>693</v>
      </c>
      <c r="K3" s="266" t="s">
        <v>673</v>
      </c>
      <c r="L3" s="266" t="s">
        <v>680</v>
      </c>
      <c r="M3" s="266" t="s">
        <v>681</v>
      </c>
      <c r="N3" s="266" t="s">
        <v>682</v>
      </c>
      <c r="O3" s="266" t="s">
        <v>683</v>
      </c>
      <c r="P3" s="266" t="s">
        <v>684</v>
      </c>
      <c r="Q3" s="266" t="s">
        <v>685</v>
      </c>
      <c r="R3" s="269" t="s">
        <v>694</v>
      </c>
      <c r="S3" s="270" t="s">
        <v>686</v>
      </c>
      <c r="T3" s="270" t="s">
        <v>687</v>
      </c>
      <c r="U3" s="270" t="s">
        <v>688</v>
      </c>
      <c r="V3" s="270" t="s">
        <v>689</v>
      </c>
      <c r="W3" s="271" t="s">
        <v>695</v>
      </c>
      <c r="X3" s="271" t="s">
        <v>690</v>
      </c>
      <c r="Y3" s="272" t="s">
        <v>667</v>
      </c>
      <c r="Z3" s="272" t="s">
        <v>668</v>
      </c>
      <c r="AA3" s="272" t="s">
        <v>696</v>
      </c>
      <c r="AB3" s="273" t="s">
        <v>704</v>
      </c>
      <c r="AC3" s="274" t="s">
        <v>171</v>
      </c>
    </row>
    <row r="4" spans="1:29" ht="15">
      <c r="A4" s="252" t="s">
        <v>697</v>
      </c>
      <c r="B4" s="227"/>
      <c r="C4" s="253"/>
      <c r="D4" s="253"/>
      <c r="E4" s="253"/>
      <c r="F4" s="253"/>
      <c r="G4" s="253"/>
      <c r="H4" s="253"/>
      <c r="I4" s="253"/>
      <c r="J4" s="253"/>
      <c r="K4" s="279"/>
      <c r="L4" s="253"/>
      <c r="M4" s="253"/>
      <c r="N4" s="253"/>
      <c r="O4" s="253"/>
      <c r="P4" s="52"/>
      <c r="Q4" s="280"/>
      <c r="R4" s="280"/>
      <c r="S4" s="58"/>
      <c r="T4" s="58"/>
      <c r="U4" s="280"/>
      <c r="V4" s="280"/>
      <c r="W4" s="253"/>
      <c r="X4" s="279"/>
      <c r="Y4" s="279"/>
      <c r="Z4" s="281"/>
      <c r="AA4" s="281">
        <v>837623</v>
      </c>
      <c r="AB4" s="281"/>
      <c r="AC4" s="257">
        <f aca="true" t="shared" si="0" ref="AC4:AC17">SUM(B4,D4:AB4)</f>
        <v>837623</v>
      </c>
    </row>
    <row r="5" spans="1:29" ht="15">
      <c r="A5" s="252" t="s">
        <v>698</v>
      </c>
      <c r="B5" s="227">
        <f>1081958-12832</f>
        <v>1069126</v>
      </c>
      <c r="C5" s="253"/>
      <c r="D5" s="253"/>
      <c r="E5" s="253"/>
      <c r="F5" s="253"/>
      <c r="G5" s="253"/>
      <c r="H5" s="253">
        <v>12832</v>
      </c>
      <c r="I5" s="253"/>
      <c r="J5" s="253"/>
      <c r="K5" s="279"/>
      <c r="L5" s="253"/>
      <c r="M5" s="253"/>
      <c r="N5" s="253"/>
      <c r="O5" s="253"/>
      <c r="P5" s="52"/>
      <c r="Q5" s="280"/>
      <c r="R5" s="280"/>
      <c r="S5" s="58"/>
      <c r="T5" s="58"/>
      <c r="U5" s="280"/>
      <c r="V5" s="280"/>
      <c r="W5" s="253"/>
      <c r="X5" s="279"/>
      <c r="Y5" s="279"/>
      <c r="Z5" s="281"/>
      <c r="AA5" s="281"/>
      <c r="AB5" s="281"/>
      <c r="AC5" s="257">
        <f t="shared" si="0"/>
        <v>1081958</v>
      </c>
    </row>
    <row r="6" spans="1:29" ht="15">
      <c r="A6" s="256" t="s">
        <v>172</v>
      </c>
      <c r="B6" s="9">
        <f>119656*0.968+68208-1645-46</f>
        <v>182344.008</v>
      </c>
      <c r="C6" s="2"/>
      <c r="D6" s="2"/>
      <c r="E6" s="2"/>
      <c r="F6" s="2"/>
      <c r="G6" s="2"/>
      <c r="H6" s="2"/>
      <c r="I6" s="2"/>
      <c r="J6" s="2"/>
      <c r="K6" s="282">
        <v>27703</v>
      </c>
      <c r="L6" s="2"/>
      <c r="M6" s="2"/>
      <c r="N6" s="2"/>
      <c r="O6" s="2"/>
      <c r="P6" s="2"/>
      <c r="Q6" s="281"/>
      <c r="R6" s="281"/>
      <c r="S6" s="21"/>
      <c r="T6" s="21"/>
      <c r="U6" s="281"/>
      <c r="V6" s="281"/>
      <c r="W6" s="281"/>
      <c r="X6" s="279">
        <v>524</v>
      </c>
      <c r="Y6" s="279"/>
      <c r="Z6" s="281"/>
      <c r="AA6" s="281"/>
      <c r="AB6" s="5">
        <v>2400</v>
      </c>
      <c r="AC6" s="257">
        <f t="shared" si="0"/>
        <v>212971.008</v>
      </c>
    </row>
    <row r="7" spans="1:29" s="275" customFormat="1" ht="15">
      <c r="A7" s="262" t="s">
        <v>173</v>
      </c>
      <c r="B7" s="9">
        <f>460350*0.968-13356-289-5718+4-96</f>
        <v>426163.8</v>
      </c>
      <c r="C7" s="4"/>
      <c r="D7" s="4">
        <f>3200*12</f>
        <v>38400</v>
      </c>
      <c r="E7" s="4">
        <v>65493</v>
      </c>
      <c r="F7" s="4">
        <v>5729</v>
      </c>
      <c r="G7" s="4">
        <v>14048</v>
      </c>
      <c r="H7" s="4">
        <v>2005</v>
      </c>
      <c r="I7" s="4">
        <v>2192</v>
      </c>
      <c r="J7" s="4">
        <v>3453</v>
      </c>
      <c r="K7" s="98">
        <f>45352+799</f>
        <v>46151</v>
      </c>
      <c r="L7" s="4">
        <v>1190</v>
      </c>
      <c r="M7" s="4">
        <v>284</v>
      </c>
      <c r="N7" s="4">
        <f>343</f>
        <v>343</v>
      </c>
      <c r="O7" s="4">
        <v>82</v>
      </c>
      <c r="P7" s="4"/>
      <c r="Q7" s="21"/>
      <c r="R7" s="21"/>
      <c r="S7" s="21">
        <v>2656</v>
      </c>
      <c r="T7" s="21">
        <v>2656</v>
      </c>
      <c r="U7" s="21">
        <v>6600</v>
      </c>
      <c r="V7" s="21">
        <f>1000+3000</f>
        <v>4000</v>
      </c>
      <c r="W7" s="21"/>
      <c r="X7" s="283">
        <v>789</v>
      </c>
      <c r="Y7" s="283"/>
      <c r="Z7" s="21"/>
      <c r="AA7" s="21"/>
      <c r="AB7" s="21">
        <v>2390</v>
      </c>
      <c r="AC7" s="23">
        <f t="shared" si="0"/>
        <v>624624.8</v>
      </c>
    </row>
    <row r="8" spans="1:29" s="275" customFormat="1" ht="15">
      <c r="A8" s="262" t="s">
        <v>174</v>
      </c>
      <c r="B8" s="9">
        <f>234149*0.968-8645-139-4580</f>
        <v>213292.232</v>
      </c>
      <c r="C8" s="4"/>
      <c r="D8" s="4"/>
      <c r="E8" s="4"/>
      <c r="F8" s="4"/>
      <c r="G8" s="4"/>
      <c r="H8" s="4">
        <v>2005</v>
      </c>
      <c r="I8" s="4"/>
      <c r="J8" s="4"/>
      <c r="K8" s="98">
        <f>35247-799</f>
        <v>34448</v>
      </c>
      <c r="L8" s="4"/>
      <c r="M8" s="4"/>
      <c r="N8" s="4"/>
      <c r="O8" s="4"/>
      <c r="P8" s="4"/>
      <c r="Q8" s="4"/>
      <c r="R8" s="4"/>
      <c r="S8" s="21"/>
      <c r="T8" s="21"/>
      <c r="U8" s="21"/>
      <c r="V8" s="21">
        <v>2000</v>
      </c>
      <c r="W8" s="4"/>
      <c r="X8" s="283">
        <v>2659</v>
      </c>
      <c r="Y8" s="283"/>
      <c r="Z8" s="21"/>
      <c r="AA8" s="21"/>
      <c r="AB8" s="21">
        <v>2390</v>
      </c>
      <c r="AC8" s="23">
        <f t="shared" si="0"/>
        <v>256794.232</v>
      </c>
    </row>
    <row r="9" spans="1:29" s="275" customFormat="1" ht="15">
      <c r="A9" s="262" t="s">
        <v>175</v>
      </c>
      <c r="B9" s="9">
        <f>(1194859-54771-10645)*0.968-26044-71-4253+2300+11+1843</f>
        <v>1067086.824</v>
      </c>
      <c r="C9" s="4"/>
      <c r="D9" s="4">
        <f>16145+838</f>
        <v>16983</v>
      </c>
      <c r="E9" s="4">
        <v>237186</v>
      </c>
      <c r="F9" s="4">
        <v>20262</v>
      </c>
      <c r="G9" s="4">
        <v>33152</v>
      </c>
      <c r="H9" s="4">
        <v>3609</v>
      </c>
      <c r="I9" s="4">
        <v>6495</v>
      </c>
      <c r="J9" s="4">
        <v>12595</v>
      </c>
      <c r="K9" s="98">
        <v>69722</v>
      </c>
      <c r="L9" s="4">
        <v>3715</v>
      </c>
      <c r="M9" s="4">
        <v>886</v>
      </c>
      <c r="N9" s="4">
        <f>757</f>
        <v>757</v>
      </c>
      <c r="O9" s="4">
        <v>181</v>
      </c>
      <c r="P9" s="4"/>
      <c r="Q9" s="4">
        <v>6360</v>
      </c>
      <c r="R9" s="4"/>
      <c r="S9" s="21">
        <v>8811</v>
      </c>
      <c r="T9" s="21">
        <v>8811</v>
      </c>
      <c r="U9" s="21"/>
      <c r="V9" s="21">
        <f>13000+3000</f>
        <v>16000</v>
      </c>
      <c r="W9" s="4">
        <f>109103+280+10286</f>
        <v>119669</v>
      </c>
      <c r="X9" s="283">
        <v>9642</v>
      </c>
      <c r="Y9" s="283"/>
      <c r="Z9" s="21"/>
      <c r="AA9" s="21"/>
      <c r="AB9" s="21">
        <v>2390</v>
      </c>
      <c r="AC9" s="23">
        <f t="shared" si="0"/>
        <v>1644312.824</v>
      </c>
    </row>
    <row r="10" spans="1:29" ht="15">
      <c r="A10" s="256" t="s">
        <v>177</v>
      </c>
      <c r="B10" s="9">
        <f>223802*0.968-8241-258-70</f>
        <v>208071.33599999998</v>
      </c>
      <c r="C10" s="2"/>
      <c r="D10" s="4"/>
      <c r="E10" s="2"/>
      <c r="F10" s="2"/>
      <c r="G10" s="2"/>
      <c r="H10" s="2">
        <v>802</v>
      </c>
      <c r="I10" s="2"/>
      <c r="J10" s="2"/>
      <c r="K10" s="2">
        <v>32238</v>
      </c>
      <c r="L10" s="2"/>
      <c r="M10" s="2"/>
      <c r="N10" s="2"/>
      <c r="O10" s="2"/>
      <c r="P10" s="2"/>
      <c r="Q10" s="2"/>
      <c r="R10" s="2"/>
      <c r="S10" s="21"/>
      <c r="T10" s="21"/>
      <c r="U10" s="21"/>
      <c r="V10" s="21"/>
      <c r="W10" s="281"/>
      <c r="X10" s="279">
        <v>796</v>
      </c>
      <c r="Y10" s="279"/>
      <c r="Z10" s="281"/>
      <c r="AA10" s="281"/>
      <c r="AB10" s="21">
        <v>2400</v>
      </c>
      <c r="AC10" s="254">
        <f t="shared" si="0"/>
        <v>244307.33599999998</v>
      </c>
    </row>
    <row r="11" spans="1:29" ht="15">
      <c r="A11" s="256" t="s">
        <v>178</v>
      </c>
      <c r="B11" s="9">
        <f>(875496*0.968)-20990-5080-36-12149+2300+12+330</f>
        <v>811867.128</v>
      </c>
      <c r="C11" s="2">
        <f>-15990-5000</f>
        <v>-20990</v>
      </c>
      <c r="D11" s="4">
        <f>6390*3+6787</f>
        <v>25957</v>
      </c>
      <c r="E11" s="2">
        <v>302237</v>
      </c>
      <c r="F11" s="2">
        <v>14312</v>
      </c>
      <c r="G11" s="2">
        <v>35375</v>
      </c>
      <c r="H11" s="2">
        <v>3609</v>
      </c>
      <c r="I11" s="2">
        <v>5150</v>
      </c>
      <c r="J11" s="2">
        <v>16030</v>
      </c>
      <c r="K11" s="2">
        <v>62688</v>
      </c>
      <c r="L11" s="2">
        <v>4076</v>
      </c>
      <c r="M11" s="2">
        <v>972</v>
      </c>
      <c r="N11" s="2">
        <f>848</f>
        <v>848</v>
      </c>
      <c r="O11" s="2">
        <v>202</v>
      </c>
      <c r="P11" s="2"/>
      <c r="Q11" s="4"/>
      <c r="R11" s="4"/>
      <c r="S11" s="21">
        <v>8329</v>
      </c>
      <c r="T11" s="21">
        <v>8329</v>
      </c>
      <c r="U11" s="21"/>
      <c r="V11" s="21">
        <v>9000</v>
      </c>
      <c r="W11" s="4">
        <v>14823</v>
      </c>
      <c r="X11" s="279">
        <v>2190</v>
      </c>
      <c r="Y11" s="279"/>
      <c r="Z11" s="281"/>
      <c r="AA11" s="281"/>
      <c r="AB11" s="21">
        <v>2390</v>
      </c>
      <c r="AC11" s="254">
        <f t="shared" si="0"/>
        <v>1328384.128</v>
      </c>
    </row>
    <row r="12" spans="1:29" ht="15">
      <c r="A12" s="256" t="s">
        <v>274</v>
      </c>
      <c r="B12" s="9">
        <f>(76752*0.968)+20990-7444-227</f>
        <v>87614.936</v>
      </c>
      <c r="C12" s="2">
        <f>15990+5000</f>
        <v>20990</v>
      </c>
      <c r="D12" s="4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1"/>
      <c r="T12" s="21"/>
      <c r="U12" s="21"/>
      <c r="V12" s="21"/>
      <c r="W12" s="2"/>
      <c r="X12" s="2"/>
      <c r="Y12" s="2"/>
      <c r="Z12" s="21"/>
      <c r="AA12" s="21"/>
      <c r="AB12" s="21"/>
      <c r="AC12" s="254">
        <f t="shared" si="0"/>
        <v>87614.936</v>
      </c>
    </row>
    <row r="13" spans="1:29" ht="15">
      <c r="A13" s="256" t="s">
        <v>176</v>
      </c>
      <c r="B13" s="9">
        <f>175691*0.968-5692-27-159-58</f>
        <v>164132.888</v>
      </c>
      <c r="C13" s="2"/>
      <c r="D13" s="4"/>
      <c r="E13" s="2"/>
      <c r="F13" s="2"/>
      <c r="G13" s="2"/>
      <c r="H13" s="2">
        <v>802</v>
      </c>
      <c r="I13" s="2"/>
      <c r="J13" s="2"/>
      <c r="K13" s="2">
        <v>43243</v>
      </c>
      <c r="L13" s="2"/>
      <c r="M13" s="2"/>
      <c r="N13" s="2"/>
      <c r="O13" s="2"/>
      <c r="P13" s="2"/>
      <c r="Q13" s="2"/>
      <c r="R13" s="2"/>
      <c r="S13" s="21"/>
      <c r="T13" s="21"/>
      <c r="U13" s="21"/>
      <c r="V13" s="21"/>
      <c r="W13" s="281"/>
      <c r="X13" s="2">
        <v>496</v>
      </c>
      <c r="Y13" s="2"/>
      <c r="Z13" s="281"/>
      <c r="AA13" s="281"/>
      <c r="AB13" s="21">
        <v>2400</v>
      </c>
      <c r="AC13" s="254">
        <f t="shared" si="0"/>
        <v>211073.888</v>
      </c>
    </row>
    <row r="14" spans="1:29" ht="15">
      <c r="A14" s="258" t="s">
        <v>179</v>
      </c>
      <c r="B14" s="9">
        <f>507590*0.968-20061-473-5663+4+120</f>
        <v>465274.12</v>
      </c>
      <c r="C14" s="2"/>
      <c r="D14" s="4">
        <v>132695</v>
      </c>
      <c r="E14" s="2">
        <v>109127</v>
      </c>
      <c r="F14" s="2">
        <v>8684</v>
      </c>
      <c r="G14" s="2">
        <v>11088</v>
      </c>
      <c r="H14" s="2">
        <v>802</v>
      </c>
      <c r="I14" s="2">
        <v>2238</v>
      </c>
      <c r="J14" s="2">
        <v>5795</v>
      </c>
      <c r="K14" s="2">
        <v>45633</v>
      </c>
      <c r="L14" s="2">
        <v>1767</v>
      </c>
      <c r="M14" s="2">
        <v>422</v>
      </c>
      <c r="N14" s="2">
        <f>271</f>
        <v>271</v>
      </c>
      <c r="O14" s="2">
        <v>65</v>
      </c>
      <c r="P14" s="2"/>
      <c r="Q14" s="281"/>
      <c r="R14" s="281"/>
      <c r="S14" s="21">
        <v>5190</v>
      </c>
      <c r="T14" s="21">
        <v>5190</v>
      </c>
      <c r="U14" s="21">
        <v>6600</v>
      </c>
      <c r="V14" s="21">
        <f>1500+1000</f>
        <v>2500</v>
      </c>
      <c r="W14" s="281"/>
      <c r="X14" s="2">
        <v>2652</v>
      </c>
      <c r="Y14" s="2"/>
      <c r="Z14" s="281"/>
      <c r="AA14" s="281"/>
      <c r="AB14" s="281">
        <v>2390</v>
      </c>
      <c r="AC14" s="254">
        <f t="shared" si="0"/>
        <v>808383.12</v>
      </c>
    </row>
    <row r="15" spans="1:29" ht="30">
      <c r="A15" s="259" t="s">
        <v>699</v>
      </c>
      <c r="B15" s="4">
        <f>5315376-191986-2340-329095-26250-648818</f>
        <v>4116887</v>
      </c>
      <c r="C15" s="260"/>
      <c r="D15" s="11"/>
      <c r="E15" s="2"/>
      <c r="F15" s="2"/>
      <c r="G15" s="2"/>
      <c r="H15" s="260">
        <v>3410</v>
      </c>
      <c r="I15" s="260"/>
      <c r="J15" s="260"/>
      <c r="K15" s="260">
        <v>91287</v>
      </c>
      <c r="L15" s="260"/>
      <c r="M15" s="260"/>
      <c r="N15" s="260"/>
      <c r="O15" s="260"/>
      <c r="P15" s="260">
        <v>12612</v>
      </c>
      <c r="Q15" s="284"/>
      <c r="R15" s="284">
        <v>7979</v>
      </c>
      <c r="S15" s="72">
        <v>36075</v>
      </c>
      <c r="T15" s="72"/>
      <c r="U15" s="72"/>
      <c r="V15" s="72"/>
      <c r="W15" s="284"/>
      <c r="X15" s="260"/>
      <c r="Y15" s="2">
        <v>6454</v>
      </c>
      <c r="Z15" s="2">
        <v>5594</v>
      </c>
      <c r="AA15" s="260"/>
      <c r="AB15" s="284">
        <v>2080</v>
      </c>
      <c r="AC15" s="254">
        <f t="shared" si="0"/>
        <v>4282378</v>
      </c>
    </row>
    <row r="16" spans="1:29" ht="30">
      <c r="A16" s="261" t="s">
        <v>700</v>
      </c>
      <c r="B16" s="2">
        <f>1941316+398594-5197-256265-8512-229400</f>
        <v>1840536</v>
      </c>
      <c r="C16" s="260"/>
      <c r="D16" s="11"/>
      <c r="E16" s="2"/>
      <c r="F16" s="2"/>
      <c r="G16" s="2"/>
      <c r="H16" s="260">
        <v>2605</v>
      </c>
      <c r="I16" s="260"/>
      <c r="J16" s="260"/>
      <c r="K16" s="260">
        <v>90560</v>
      </c>
      <c r="L16" s="260"/>
      <c r="M16" s="260"/>
      <c r="N16" s="260"/>
      <c r="O16" s="260"/>
      <c r="P16" s="260"/>
      <c r="Q16" s="284"/>
      <c r="R16" s="284"/>
      <c r="S16" s="72">
        <v>12605</v>
      </c>
      <c r="T16" s="72"/>
      <c r="U16" s="72"/>
      <c r="V16" s="72"/>
      <c r="W16" s="284"/>
      <c r="X16" s="260"/>
      <c r="Y16" s="2">
        <v>3646</v>
      </c>
      <c r="Z16" s="2"/>
      <c r="AA16" s="260"/>
      <c r="AB16" s="284">
        <v>463</v>
      </c>
      <c r="AC16" s="254">
        <f t="shared" si="0"/>
        <v>1950415</v>
      </c>
    </row>
    <row r="17" spans="1:29" ht="30.75" thickBot="1">
      <c r="A17" s="261" t="s">
        <v>701</v>
      </c>
      <c r="B17" s="2">
        <f>3333908+835802-2749-311185-20269-426050</f>
        <v>3409457</v>
      </c>
      <c r="C17" s="260"/>
      <c r="D17" s="11"/>
      <c r="E17" s="2"/>
      <c r="F17" s="2"/>
      <c r="G17" s="2"/>
      <c r="H17" s="260">
        <v>5811</v>
      </c>
      <c r="I17" s="260"/>
      <c r="J17" s="260"/>
      <c r="K17" s="260">
        <v>146972</v>
      </c>
      <c r="L17" s="260"/>
      <c r="M17" s="260"/>
      <c r="N17" s="260"/>
      <c r="O17" s="260"/>
      <c r="P17" s="260">
        <v>22135</v>
      </c>
      <c r="Q17" s="284"/>
      <c r="R17" s="284">
        <v>8799</v>
      </c>
      <c r="S17" s="72">
        <v>25105</v>
      </c>
      <c r="T17" s="72"/>
      <c r="U17" s="72"/>
      <c r="V17" s="72"/>
      <c r="W17" s="284"/>
      <c r="X17" s="260"/>
      <c r="Y17" s="2">
        <v>71375</v>
      </c>
      <c r="Z17" s="2">
        <v>8304</v>
      </c>
      <c r="AA17" s="260"/>
      <c r="AB17" s="284">
        <v>793</v>
      </c>
      <c r="AC17" s="254">
        <f t="shared" si="0"/>
        <v>3698751</v>
      </c>
    </row>
    <row r="18" spans="1:29" ht="15" thickBot="1">
      <c r="A18" s="285" t="s">
        <v>180</v>
      </c>
      <c r="B18" s="286">
        <f aca="true" t="shared" si="1" ref="B18:AB18">SUM(B4:B17)</f>
        <v>14061853.272</v>
      </c>
      <c r="C18" s="286">
        <f t="shared" si="1"/>
        <v>0</v>
      </c>
      <c r="D18" s="287">
        <f t="shared" si="1"/>
        <v>214035</v>
      </c>
      <c r="E18" s="287">
        <f t="shared" si="1"/>
        <v>714043</v>
      </c>
      <c r="F18" s="287">
        <f t="shared" si="1"/>
        <v>48987</v>
      </c>
      <c r="G18" s="287">
        <f t="shared" si="1"/>
        <v>93663</v>
      </c>
      <c r="H18" s="287">
        <f t="shared" si="1"/>
        <v>38292</v>
      </c>
      <c r="I18" s="287">
        <f t="shared" si="1"/>
        <v>16075</v>
      </c>
      <c r="J18" s="287">
        <f t="shared" si="1"/>
        <v>37873</v>
      </c>
      <c r="K18" s="287">
        <f t="shared" si="1"/>
        <v>690645</v>
      </c>
      <c r="L18" s="287">
        <f t="shared" si="1"/>
        <v>10748</v>
      </c>
      <c r="M18" s="287">
        <f t="shared" si="1"/>
        <v>2564</v>
      </c>
      <c r="N18" s="287">
        <f t="shared" si="1"/>
        <v>2219</v>
      </c>
      <c r="O18" s="287">
        <f t="shared" si="1"/>
        <v>530</v>
      </c>
      <c r="P18" s="287">
        <f t="shared" si="1"/>
        <v>34747</v>
      </c>
      <c r="Q18" s="287">
        <f t="shared" si="1"/>
        <v>6360</v>
      </c>
      <c r="R18" s="287">
        <f t="shared" si="1"/>
        <v>16778</v>
      </c>
      <c r="S18" s="287">
        <f t="shared" si="1"/>
        <v>98771</v>
      </c>
      <c r="T18" s="287">
        <f t="shared" si="1"/>
        <v>24986</v>
      </c>
      <c r="U18" s="287">
        <f t="shared" si="1"/>
        <v>13200</v>
      </c>
      <c r="V18" s="287">
        <f t="shared" si="1"/>
        <v>33500</v>
      </c>
      <c r="W18" s="287">
        <f t="shared" si="1"/>
        <v>134492</v>
      </c>
      <c r="X18" s="287">
        <f t="shared" si="1"/>
        <v>19748</v>
      </c>
      <c r="Y18" s="287">
        <f t="shared" si="1"/>
        <v>81475</v>
      </c>
      <c r="Z18" s="287">
        <f t="shared" si="1"/>
        <v>13898</v>
      </c>
      <c r="AA18" s="287">
        <f t="shared" si="1"/>
        <v>837623</v>
      </c>
      <c r="AB18" s="287">
        <f t="shared" si="1"/>
        <v>22486</v>
      </c>
      <c r="AC18" s="288">
        <f>SUM(B18:AB18)</f>
        <v>17269591.272</v>
      </c>
    </row>
    <row r="19" spans="1:12" ht="15">
      <c r="A19" s="255"/>
      <c r="H19" s="276"/>
      <c r="I19" s="276"/>
      <c r="J19" s="276"/>
      <c r="K19" s="277"/>
      <c r="L19" s="278"/>
    </row>
    <row r="21" spans="2:29" ht="12.75">
      <c r="B21" s="277"/>
      <c r="K21" s="277"/>
      <c r="AC21" s="277"/>
    </row>
  </sheetData>
  <sheetProtection/>
  <printOptions/>
  <pageMargins left="0.31496062992125984" right="0" top="0.6692913385826772" bottom="0.15748031496062992" header="0.31496062992125984" footer="0.1968503937007874"/>
  <pageSetup fitToHeight="1" fitToWidth="1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9.140625" style="0" customWidth="1"/>
  </cols>
  <sheetData/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68"/>
  <sheetViews>
    <sheetView zoomScale="115" zoomScaleNormal="115" zoomScalePageLayoutView="0" workbookViewId="0" topLeftCell="A1">
      <selection activeCell="F27" sqref="F27"/>
    </sheetView>
  </sheetViews>
  <sheetFormatPr defaultColWidth="9.140625" defaultRowHeight="12.75"/>
  <cols>
    <col min="1" max="1" width="9.140625" style="3" customWidth="1"/>
  </cols>
  <sheetData>
    <row r="1" ht="12.75">
      <c r="A1" s="3">
        <v>160698</v>
      </c>
    </row>
    <row r="2" ht="12.75">
      <c r="A2" s="3">
        <v>45788</v>
      </c>
    </row>
    <row r="3" ht="12.75">
      <c r="A3" s="3">
        <v>23648</v>
      </c>
    </row>
    <row r="4" ht="12.75">
      <c r="A4" s="3">
        <v>49835</v>
      </c>
    </row>
    <row r="5" ht="12.75">
      <c r="A5" s="3">
        <v>56534</v>
      </c>
    </row>
    <row r="6" ht="12.75">
      <c r="A6" s="3">
        <v>57063</v>
      </c>
    </row>
    <row r="7" ht="12.75">
      <c r="A7" s="3">
        <v>3356</v>
      </c>
    </row>
    <row r="8" ht="12.75">
      <c r="A8" s="3">
        <v>108138</v>
      </c>
    </row>
    <row r="9" ht="12.75">
      <c r="A9" s="3">
        <v>4040</v>
      </c>
    </row>
    <row r="10" ht="12.75">
      <c r="A10" s="3">
        <v>2500</v>
      </c>
    </row>
    <row r="11" ht="12.75">
      <c r="A11" s="3">
        <v>31568</v>
      </c>
    </row>
    <row r="12" ht="12.75">
      <c r="A12" s="3">
        <v>1364</v>
      </c>
    </row>
    <row r="13" ht="12.75">
      <c r="A13" s="3">
        <v>142212</v>
      </c>
    </row>
    <row r="14" ht="12.75">
      <c r="A14" s="3">
        <v>2404</v>
      </c>
    </row>
    <row r="15" ht="12.75">
      <c r="A15" s="3">
        <v>3288</v>
      </c>
    </row>
    <row r="16" ht="12.75">
      <c r="A16" s="3">
        <v>2096</v>
      </c>
    </row>
    <row r="17" ht="12.75">
      <c r="A17" s="3">
        <v>77205</v>
      </c>
    </row>
    <row r="18" ht="12.75">
      <c r="A18" s="3">
        <v>5748</v>
      </c>
    </row>
    <row r="19" ht="12.75">
      <c r="A19" s="3">
        <v>36443</v>
      </c>
    </row>
    <row r="20" ht="12.75">
      <c r="A20" s="3">
        <v>2812</v>
      </c>
    </row>
    <row r="21" ht="12.75">
      <c r="A21" s="3">
        <v>48258</v>
      </c>
    </row>
    <row r="22" ht="12.75">
      <c r="A22" s="3">
        <v>21235</v>
      </c>
    </row>
    <row r="23" ht="12.75">
      <c r="A23" s="3">
        <v>45116</v>
      </c>
    </row>
    <row r="24" ht="12.75">
      <c r="A24" s="3">
        <v>6764</v>
      </c>
    </row>
    <row r="25" ht="12.75">
      <c r="A25" s="3">
        <v>20313</v>
      </c>
    </row>
    <row r="26" ht="12.75">
      <c r="A26" s="3">
        <v>43020</v>
      </c>
    </row>
    <row r="27" ht="12.75">
      <c r="A27" s="3">
        <v>35144</v>
      </c>
    </row>
    <row r="28" ht="12.75">
      <c r="A28" s="3">
        <v>41748</v>
      </c>
    </row>
    <row r="29" ht="12.75">
      <c r="A29" s="3">
        <v>42664</v>
      </c>
    </row>
    <row r="30" ht="12.75">
      <c r="A30" s="3">
        <v>44100</v>
      </c>
    </row>
    <row r="31" ht="12.75">
      <c r="A31" s="3">
        <v>39428</v>
      </c>
    </row>
    <row r="32" ht="12.75">
      <c r="A32" s="3">
        <v>64720</v>
      </c>
    </row>
    <row r="33" ht="12.75">
      <c r="A33" s="3">
        <v>27808</v>
      </c>
    </row>
    <row r="34" ht="12.75">
      <c r="A34" s="3">
        <v>22012</v>
      </c>
    </row>
    <row r="35" ht="12.75">
      <c r="A35" s="3">
        <v>2600</v>
      </c>
    </row>
    <row r="36" ht="12.75">
      <c r="A36" s="3">
        <v>4800</v>
      </c>
    </row>
    <row r="37" ht="12.75">
      <c r="A37" s="3">
        <v>1424</v>
      </c>
    </row>
    <row r="38" ht="12.75">
      <c r="A38" s="3">
        <v>10392</v>
      </c>
    </row>
    <row r="39" ht="12.75">
      <c r="A39" s="3">
        <v>12104</v>
      </c>
    </row>
    <row r="40" ht="12.75">
      <c r="A40" s="3">
        <v>17244</v>
      </c>
    </row>
    <row r="41" ht="12.75">
      <c r="A41" s="3">
        <v>5072</v>
      </c>
    </row>
    <row r="42" ht="12.75">
      <c r="A42" s="3">
        <v>32984</v>
      </c>
    </row>
    <row r="43" ht="12.75">
      <c r="A43" s="3">
        <v>5090</v>
      </c>
    </row>
    <row r="44" ht="12.75">
      <c r="A44" s="3">
        <v>7107</v>
      </c>
    </row>
    <row r="45" ht="12.75">
      <c r="A45" s="3">
        <v>12988</v>
      </c>
    </row>
    <row r="46" ht="12.75">
      <c r="A46" s="3">
        <v>979</v>
      </c>
    </row>
    <row r="47" ht="12.75">
      <c r="A47" s="3">
        <v>68568</v>
      </c>
    </row>
    <row r="48" ht="12.75">
      <c r="A48" s="3">
        <v>64600</v>
      </c>
    </row>
    <row r="49" ht="12.75">
      <c r="A49" s="3">
        <v>868</v>
      </c>
    </row>
    <row r="50" ht="12.75">
      <c r="A50" s="3">
        <v>7028</v>
      </c>
    </row>
    <row r="51" ht="12.75">
      <c r="A51" s="3">
        <v>12988</v>
      </c>
    </row>
    <row r="52" ht="12.75">
      <c r="A52" s="3">
        <v>18761</v>
      </c>
    </row>
    <row r="53" ht="12.75">
      <c r="A53" s="3">
        <v>8419</v>
      </c>
    </row>
    <row r="54" ht="12.75">
      <c r="A54" s="3">
        <v>49610</v>
      </c>
    </row>
    <row r="55" ht="12.75">
      <c r="A55" s="3">
        <v>40886</v>
      </c>
    </row>
    <row r="56" ht="12.75">
      <c r="A56" s="3">
        <v>22193</v>
      </c>
    </row>
    <row r="57" ht="12.75">
      <c r="A57" s="3">
        <v>5433</v>
      </c>
    </row>
    <row r="58" ht="12.75">
      <c r="A58" s="3">
        <v>2878</v>
      </c>
    </row>
    <row r="59" ht="12.75">
      <c r="A59" s="3">
        <v>924390</v>
      </c>
    </row>
    <row r="60" ht="12.75">
      <c r="A60" s="3">
        <v>3954</v>
      </c>
    </row>
    <row r="61" ht="12.75">
      <c r="A61" s="3">
        <v>3300</v>
      </c>
    </row>
    <row r="62" ht="12.75">
      <c r="A62" s="3">
        <v>7200</v>
      </c>
    </row>
    <row r="63" ht="12.75">
      <c r="A63" s="3">
        <v>4082</v>
      </c>
    </row>
    <row r="64" ht="12.75">
      <c r="A64" s="3">
        <v>1112557</v>
      </c>
    </row>
    <row r="65" ht="12.75">
      <c r="A65" s="3">
        <v>4001</v>
      </c>
    </row>
    <row r="66" ht="12.75">
      <c r="A66" s="3">
        <v>15845</v>
      </c>
    </row>
    <row r="67" ht="12.75">
      <c r="A67" s="3">
        <v>2575</v>
      </c>
    </row>
    <row r="68" ht="12.75">
      <c r="A68" s="6">
        <f>SUM(A1:A67)</f>
        <v>3811990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Ogres novada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Velberga</dc:creator>
  <cp:keywords/>
  <dc:description/>
  <cp:lastModifiedBy>Santa Hermane</cp:lastModifiedBy>
  <cp:lastPrinted>2021-08-05T10:30:33Z</cp:lastPrinted>
  <dcterms:created xsi:type="dcterms:W3CDTF">2006-04-20T10:34:24Z</dcterms:created>
  <dcterms:modified xsi:type="dcterms:W3CDTF">2021-08-05T10:30:47Z</dcterms:modified>
  <cp:category/>
  <cp:version/>
  <cp:contentType/>
  <cp:contentStatus/>
</cp:coreProperties>
</file>