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matbudžets_1.piel   " sheetId="1" r:id="rId1"/>
    <sheet name="Pamatbudžets_2.piel." sheetId="2" r:id="rId2"/>
    <sheet name="Sheet1" sheetId="3" r:id="rId3"/>
    <sheet name="Sheet2" sheetId="4" r:id="rId4"/>
    <sheet name="Sheet3" sheetId="5" r:id="rId5"/>
  </sheets>
  <definedNames>
    <definedName name="_xlnm.Print_Titles" localSheetId="0">'Pamatbudžets_1.piel   '!$7:$7</definedName>
  </definedNames>
  <calcPr fullCalcOnLoad="1"/>
</workbook>
</file>

<file path=xl/sharedStrings.xml><?xml version="1.0" encoding="utf-8"?>
<sst xmlns="http://schemas.openxmlformats.org/spreadsheetml/2006/main" count="578" uniqueCount="542">
  <si>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</si>
  <si>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</si>
  <si>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</si>
  <si>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</si>
  <si>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</si>
  <si>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</si>
  <si>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</si>
  <si>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</si>
  <si>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</si>
  <si>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</si>
  <si>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</si>
  <si>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</si>
  <si>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</si>
  <si>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</si>
  <si>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</si>
  <si>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</si>
  <si>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</si>
  <si>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</si>
  <si>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</si>
  <si>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</si>
  <si>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</si>
  <si>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</si>
  <si>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</si>
  <si>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</si>
  <si>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</si>
  <si>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</si>
  <si>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</si>
  <si>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</si>
  <si>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</si>
  <si>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</si>
  <si>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</si>
  <si>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</si>
  <si>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</si>
  <si>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</si>
  <si>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</si>
  <si>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</si>
  <si>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</si>
  <si>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</si>
  <si>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</si>
  <si>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</si>
  <si>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</si>
  <si>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</si>
  <si>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</si>
  <si>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</si>
  <si>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</si>
  <si>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</si>
  <si>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</si>
  <si>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</si>
  <si>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Valsts kases kredīts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</si>
  <si>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</si>
  <si>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</si>
  <si>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</si>
  <si>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</si>
  <si>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</si>
  <si>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</si>
  <si>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</si>
  <si>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</si>
  <si>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</si>
  <si>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</si>
  <si>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</si>
  <si>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</si>
  <si>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</si>
  <si>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</si>
  <si>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</si>
  <si>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</si>
  <si>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</si>
  <si>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</si>
  <si>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</si>
  <si>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</si>
  <si>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</si>
  <si>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</si>
  <si>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</si>
  <si>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</si>
  <si>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</si>
  <si>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</si>
  <si>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</si>
  <si>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</si>
  <si>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</si>
  <si>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</si>
  <si>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</si>
  <si>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</si>
  <si>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</si>
  <si>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</si>
  <si>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</si>
  <si>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</si>
  <si>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</si>
  <si>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</si>
  <si>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</si>
  <si>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</si>
  <si>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</si>
  <si>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</si>
  <si>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</si>
  <si>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</si>
  <si>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</si>
  <si>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</si>
  <si>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</si>
  <si>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</si>
  <si>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</si>
  <si>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</si>
  <si>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</si>
  <si>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</si>
  <si>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</si>
  <si>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</si>
  <si>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</si>
  <si>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</si>
  <si>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</si>
  <si>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</si>
  <si>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</si>
  <si>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</si>
  <si>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</si>
  <si>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</si>
  <si>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</si>
  <si>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</si>
  <si>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</si>
  <si>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</si>
  <si>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</si>
  <si>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</si>
  <si>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</si>
  <si>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</si>
  <si>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</si>
  <si>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</si>
  <si>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</si>
  <si>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</si>
  <si>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</si>
  <si>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 xml:space="preserve">    Finansējums PA "Ogres kultūras centrs"</t>
  </si>
  <si>
    <t xml:space="preserve">    Pilsētas dekorēšana svētkiem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</si>
  <si>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</si>
  <si>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</si>
  <si>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</si>
  <si>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</si>
  <si>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</si>
  <si>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</si>
  <si>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</si>
  <si>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</si>
  <si>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</si>
  <si>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</si>
  <si>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</si>
  <si>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19.1.0.0.</t>
  </si>
  <si>
    <t>21.3.5.0.</t>
  </si>
  <si>
    <t>Maksa par izglītības pakalpojumiem</t>
  </si>
  <si>
    <t>21.3.7.0.</t>
  </si>
  <si>
    <t>Būvvalde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</si>
  <si>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</si>
  <si>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</si>
  <si>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</si>
  <si>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</si>
  <si>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</si>
  <si>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</si>
  <si>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</si>
  <si>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</si>
  <si>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</si>
  <si>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</si>
  <si>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</si>
  <si>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</si>
  <si>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</si>
  <si>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</si>
  <si>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F40 32 00 20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</si>
  <si>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</si>
  <si>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</si>
  <si>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</si>
  <si>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</si>
  <si>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</si>
  <si>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</si>
  <si>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</si>
  <si>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</si>
  <si>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</si>
  <si>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</si>
  <si>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</si>
  <si>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</si>
  <si>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</si>
  <si>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</si>
  <si>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</si>
  <si>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Atbalsts ģimenēm ar bērniem (Bāriņtiesas)</t>
  </si>
  <si>
    <t>18.6.0.0.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</si>
  <si>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</si>
  <si>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</si>
  <si>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</si>
  <si>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</si>
  <si>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</si>
  <si>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</si>
  <si>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</si>
  <si>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</si>
  <si>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</si>
  <si>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</si>
  <si>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</si>
  <si>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</si>
  <si>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</si>
  <si>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</si>
  <si>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</si>
  <si>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</si>
  <si>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</si>
  <si>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</si>
  <si>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</si>
  <si>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</si>
  <si>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</si>
  <si>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</si>
  <si>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</si>
  <si>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</si>
  <si>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</si>
  <si>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</si>
  <si>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</si>
  <si>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</si>
  <si>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</si>
  <si>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</si>
  <si>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</si>
  <si>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</si>
  <si>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</si>
  <si>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</si>
  <si>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</si>
  <si>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</si>
  <si>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</si>
  <si>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</si>
  <si>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</si>
  <si>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</si>
  <si>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</si>
  <si>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</si>
  <si>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</si>
  <si>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</si>
  <si>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</si>
  <si>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</si>
  <si>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</si>
  <si>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</si>
  <si>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</si>
  <si>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</si>
  <si>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</si>
  <si>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</si>
  <si>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</si>
  <si>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</si>
  <si>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</si>
  <si>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</si>
  <si>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</si>
  <si>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</si>
  <si>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</si>
  <si>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</si>
  <si>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</si>
  <si>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</si>
  <si>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09.5101</t>
  </si>
  <si>
    <t>09.5102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</si>
  <si>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</si>
  <si>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</si>
  <si>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</si>
  <si>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</si>
  <si>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</si>
  <si>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</si>
  <si>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</si>
  <si>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</si>
  <si>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</si>
  <si>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</si>
  <si>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</si>
  <si>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</si>
  <si>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</si>
  <si>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</si>
  <si>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Dabas resursu nodoklis</t>
  </si>
  <si>
    <t>03.200</t>
  </si>
  <si>
    <t xml:space="preserve">          Vēstures un mākslas muzejs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</si>
  <si>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</si>
  <si>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</si>
  <si>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</si>
  <si>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</si>
  <si>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</si>
  <si>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</si>
  <si>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 xml:space="preserve">       Norēķini ar citu pašvaldību sociālo pakalpojumu iestādēm</t>
  </si>
  <si>
    <t>08.29011</t>
  </si>
  <si>
    <t>Budžeta nodaļas vadītāja</t>
  </si>
  <si>
    <t>F20010000 AS</t>
  </si>
  <si>
    <t>F20010000 AB</t>
  </si>
  <si>
    <t>21.4.9.0</t>
  </si>
  <si>
    <t>Pārējie iepriekš neklasificētie pašu ieņēmumi</t>
  </si>
  <si>
    <t>04.11114</t>
  </si>
  <si>
    <t>04.2103</t>
  </si>
  <si>
    <t>05.1007</t>
  </si>
  <si>
    <t>08.1004</t>
  </si>
  <si>
    <t xml:space="preserve">       Struktūrvienība peldbaseins  "Neptūns"</t>
  </si>
  <si>
    <t>09.82030</t>
  </si>
  <si>
    <t>Mācību, darba un dienesta komandējumi, dienesta, darba braucieni</t>
  </si>
  <si>
    <t>Kompensācijas, kuras izmaksā personām, pamatojoties uz Latvijas tiesu nolēmumiem</t>
  </si>
  <si>
    <t>10.70015</t>
  </si>
  <si>
    <t>Kredīta atmaksa        F40322220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</si>
  <si>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</si>
  <si>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</si>
  <si>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</si>
  <si>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</si>
  <si>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Ieņēmumi no lauksaimnieciskās darbības</t>
  </si>
  <si>
    <t>07.4501</t>
  </si>
  <si>
    <t>08.2301</t>
  </si>
  <si>
    <t xml:space="preserve">    Kultūras aktivitātes / pasākumi</t>
  </si>
  <si>
    <t>Projekts Skolēnu autobusi (Soc.droš.tīkls)</t>
  </si>
  <si>
    <t>10.70003</t>
  </si>
  <si>
    <t>Sociālā dienesta asistentu pakalpojumi</t>
  </si>
  <si>
    <t>01.83011</t>
  </si>
  <si>
    <t>01.83012</t>
  </si>
  <si>
    <t>01.83013</t>
  </si>
  <si>
    <t>03.2001</t>
  </si>
  <si>
    <t>04.11102</t>
  </si>
  <si>
    <t>04.11103</t>
  </si>
  <si>
    <t>04.4301</t>
  </si>
  <si>
    <t>05.30001</t>
  </si>
  <si>
    <t>05.4001</t>
  </si>
  <si>
    <t>06.2001</t>
  </si>
  <si>
    <t xml:space="preserve">       Projektu konkurss "Veidojam vidi ap mums Ogres novadā"</t>
  </si>
  <si>
    <t xml:space="preserve">      Pašvaldības teritoriju labiekārtošana</t>
  </si>
  <si>
    <t>07.2101</t>
  </si>
  <si>
    <t>08.29007</t>
  </si>
  <si>
    <t>10.70006</t>
  </si>
  <si>
    <t>Jauniešu garantijas ietvaros projekta "PROTI un DARI!" īstenošana</t>
  </si>
  <si>
    <t>06.60012</t>
  </si>
  <si>
    <t xml:space="preserve"> </t>
  </si>
  <si>
    <t xml:space="preserve">      SAM 9.2.4.2. Pasākumi vietējās sabiedrības slimību profilaksei un veselības veicināšanai</t>
  </si>
  <si>
    <t>08.2304</t>
  </si>
  <si>
    <t xml:space="preserve">    Kultūras centri - tautas nami</t>
  </si>
  <si>
    <t>08.300</t>
  </si>
  <si>
    <t>Apraides un izdevniecības pakalpojumi</t>
  </si>
  <si>
    <t>Ēdināšanas izmaksu kompensācijas</t>
  </si>
  <si>
    <t>Skolnieku pārvadājumi</t>
  </si>
  <si>
    <t>09.82001</t>
  </si>
  <si>
    <t>Karjeras atbalsts vispārējās un profesionālās izglītības iestādēs</t>
  </si>
  <si>
    <t>09.60010</t>
  </si>
  <si>
    <t>09.60020</t>
  </si>
  <si>
    <t>04.510010</t>
  </si>
  <si>
    <t>SAM 5,6,2, Degradētās teritorijas Pārogres industriālajā parkā revitalizācija</t>
  </si>
  <si>
    <t>Atbalsts izglītojamo individuālo kompetenču attīstībai</t>
  </si>
  <si>
    <t>09.82039</t>
  </si>
  <si>
    <t>08.2101</t>
  </si>
  <si>
    <t>8.3.0.0.</t>
  </si>
  <si>
    <t>Īeņēmumi no dividendēm</t>
  </si>
  <si>
    <t>21.3.4.0.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</si>
  <si>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</si>
  <si>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</si>
  <si>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</si>
  <si>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</si>
  <si>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</si>
  <si>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</si>
  <si>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</si>
  <si>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</si>
  <si>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10.70016</t>
  </si>
  <si>
    <t>ERAF "Pakalpojumu infrastruktūras attīstība deinstitualizācijas plānu īstenošanai"</t>
  </si>
  <si>
    <t>Tūrisma informācijas centrs</t>
  </si>
  <si>
    <t>09.82002</t>
  </si>
  <si>
    <t>Atbalsts priekšlaicīgas mācību pārtraukšanas samazināšanai (Pumpurs)</t>
  </si>
  <si>
    <t>09.82045</t>
  </si>
  <si>
    <t>Ogres 1. vidusskolas ERASMUS programmas 1. pamatdarbības mobilitātes projekts "No vārdiem pie darbiem: mūsdienīgu lietpratību veicinoša skola"</t>
  </si>
  <si>
    <t>04.7301</t>
  </si>
  <si>
    <t>07.4502</t>
  </si>
  <si>
    <t>06.60022</t>
  </si>
  <si>
    <t xml:space="preserve">     Veselības veicināšanas pasākumiem</t>
  </si>
  <si>
    <t>Energoefektivitātes pasākumi</t>
  </si>
  <si>
    <t>SIA Ogres namsaimnieks finansējums domes deliģēto funkciju izpildei</t>
  </si>
  <si>
    <t>21.3.6.0.</t>
  </si>
  <si>
    <t>Ieņēmumi par  dokumentu izsniegšanu un kancelejas pakalpojumiem</t>
  </si>
  <si>
    <t>F40 32 00 10</t>
  </si>
  <si>
    <t>01.6001</t>
  </si>
  <si>
    <t>Finansējums Ogres un Ikšķiles PA "Tūrisma, sporta un atpūtas kompleksa "Zilie kalni"attīstības aģentūra"</t>
  </si>
  <si>
    <t>Projektu pieteikumu izstrāde, tehniskās dokumentācijas sagatavošana</t>
  </si>
  <si>
    <t>04.2102</t>
  </si>
  <si>
    <t xml:space="preserve">Centrālās Baltijas jūras reģiona programmas projekts "Nordic urban planning:  holistic approach for extreme weather" (NOAH) </t>
  </si>
  <si>
    <t>04.51015</t>
  </si>
  <si>
    <t>Parka ielas pārbūve</t>
  </si>
  <si>
    <t>Ielu tīrīšanai, atkritumu savākšanai,teritoriju labiekārtošanai</t>
  </si>
  <si>
    <t>05.30002</t>
  </si>
  <si>
    <t>Siltumnīcefekta gāzu emisiju samazināšana izbūvējot Ogres Centrālo bibliotēkas ēku</t>
  </si>
  <si>
    <t>06.3001</t>
  </si>
  <si>
    <t>Vispārējie ūdens apgādes izdevumi</t>
  </si>
  <si>
    <t>08.220</t>
  </si>
  <si>
    <t xml:space="preserve">    Kultūras centri, nami</t>
  </si>
  <si>
    <t xml:space="preserve">    Komunikāciju centrs Ķeipenē</t>
  </si>
  <si>
    <t>08.29012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</si>
  <si>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</si>
  <si>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</si>
  <si>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</si>
  <si>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</si>
  <si>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</si>
  <si>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</si>
  <si>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</si>
  <si>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</si>
  <si>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</si>
  <si>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</si>
  <si>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Pārējās izglītības iestāžu pedagogu profesionālās kompetences  pilnveide (Ģimnāzija)</t>
  </si>
  <si>
    <t>09.82046</t>
  </si>
  <si>
    <t xml:space="preserve">Erasmus + programmas projekts Nr.2018-1-EE01-KA229-047133 4 Darbīgās bites (Dzīpariņš) </t>
  </si>
  <si>
    <t>10.70009</t>
  </si>
  <si>
    <t>Konkurss Vides pieejamības nodrošināšana invalīdiem</t>
  </si>
  <si>
    <t>Erasmus+programmas projekts "ALLready a Success to School Life" (Pilnībā gatavs veiksmei skolā) Nr.2018-1-TR01-KA201-059716.Sākumsk.</t>
  </si>
  <si>
    <t>09.82011</t>
  </si>
  <si>
    <t>Sociālo pakalpojumu atbalsta sistēmas pilnveide projekta (GRT) Nr.9.2.2.2/16/I/001.</t>
  </si>
  <si>
    <t>10.70011</t>
  </si>
  <si>
    <t>Ogres novada pašvaldības domes</t>
  </si>
  <si>
    <t>5.5.3.0.</t>
  </si>
  <si>
    <t>8.9.0.0.</t>
  </si>
  <si>
    <t>Pārējie finanšu ieņēmumi</t>
  </si>
  <si>
    <t>12.0.0.0.</t>
  </si>
  <si>
    <t>Procentu ieņēmumi par maksas pakalpojumiem un pašu ieguldījumiem depozītā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</si>
  <si>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</si>
  <si>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04.51016</t>
  </si>
  <si>
    <t>04.51017</t>
  </si>
  <si>
    <t>04.51018</t>
  </si>
  <si>
    <t xml:space="preserve">      Koncesija atkritumu apsaimniekošana</t>
  </si>
  <si>
    <t xml:space="preserve">       Lietus ūdens kanalizācija </t>
  </si>
  <si>
    <t xml:space="preserve">       Notekūdeņu (savākšana un attīrīšana)</t>
  </si>
  <si>
    <t xml:space="preserve">   Bioloģiskās daudzveidības un ainavas aizsardzība</t>
  </si>
  <si>
    <t xml:space="preserve">       mājokļu apsaimniekošana</t>
  </si>
  <si>
    <t xml:space="preserve">       siltumapgāde</t>
  </si>
  <si>
    <t xml:space="preserve">       kapu saimniecība</t>
  </si>
  <si>
    <t xml:space="preserve">      Īpašumu uzmērīšanai un reģistrēšanai Zemesgrāmatā</t>
  </si>
  <si>
    <t xml:space="preserve">      Pārējie izdevumi</t>
  </si>
  <si>
    <t xml:space="preserve">      Nevalstisko organizāciju projektu atbalstam</t>
  </si>
  <si>
    <t xml:space="preserve">      Saimniecības nodaļa</t>
  </si>
  <si>
    <t>06.60026</t>
  </si>
  <si>
    <t>Ogres bijušās sanatorijas ieejas vestibils</t>
  </si>
  <si>
    <t>06.60027</t>
  </si>
  <si>
    <t>Sūkņu stacijas projektēšana</t>
  </si>
  <si>
    <t>06.60028</t>
  </si>
  <si>
    <t>Jauniešu mājas būvprojekta izstrāde</t>
  </si>
  <si>
    <t xml:space="preserve">    Sudrabu Edžus memoriālā istabs</t>
  </si>
  <si>
    <t xml:space="preserve">    Papildus aktivitātes  Ogres novada pašvaldības iestādēs (vasaras nometnes)</t>
  </si>
  <si>
    <t xml:space="preserve">       Projektu konkurss RADI Ogres novadam (Kultūras, sporta un izglītības pasākumi, mācības, kursi)</t>
  </si>
  <si>
    <t>Zaļā tūrisma ceļu attīstība Latvijas un Krievijas pierobežas reģionā ” Greenways (Zaļais ceļš Rīga – Pleskava)LV-RU-006</t>
  </si>
  <si>
    <t>Finansējums bērniem, kuri apmeklē privātās pirmsskolas izglītības iestādes</t>
  </si>
  <si>
    <t>09.810</t>
  </si>
  <si>
    <t>Pārējā izglītības vadība (Izglītības pārvalde)</t>
  </si>
  <si>
    <t xml:space="preserve">     Projekts Skolēnu autobusi (Šveice)</t>
  </si>
  <si>
    <t xml:space="preserve">      8.1.2.SAM "Uzlabot vispārējās izglītības iestāžu mācību vidi Ogres novadā"</t>
  </si>
  <si>
    <t>10.400</t>
  </si>
  <si>
    <t>10.500</t>
  </si>
  <si>
    <t xml:space="preserve">       ES projekts "Deinstitucionalizācija un sociālie pakalpojumi personām ar invaliditāti un bērniem"</t>
  </si>
  <si>
    <t>Procentu maksājumi iekšzemes kredītiestādēm</t>
  </si>
  <si>
    <t>09.600139</t>
  </si>
  <si>
    <t>Ēdināšana Ogres skolās</t>
  </si>
  <si>
    <t>08.29023</t>
  </si>
  <si>
    <t>Brīvdabas skatuves būvniecība  un laukuma labiekārtošana Meņģelē</t>
  </si>
  <si>
    <t>09.5107</t>
  </si>
  <si>
    <t>Ogres Mūzikas un mākslas skola</t>
  </si>
  <si>
    <t>08.29024</t>
  </si>
  <si>
    <t>Projekts "TRĪS.KOPĀ.LABĀK", "Starpnovadu un starpinstitūciju sadarbība jaunatnes politikas īstenošanai vietējā līmenī".</t>
  </si>
  <si>
    <t>09.82047</t>
  </si>
  <si>
    <t>Erasmus programmas projekts Nr.2020-1-LV01-KA101-077352 Skolu mācību mobilitāte (ģimnāzija)</t>
  </si>
  <si>
    <t>09.82048</t>
  </si>
  <si>
    <t>Erasmus programmas projekts Nr.2020-1-IT02-KA229-079156 2, Skolas apmaiņas partnerība (Jaunogres vsk.)</t>
  </si>
  <si>
    <t>09.82049</t>
  </si>
  <si>
    <t>Erasmus programmas projekts Nr.2020-1-PL01-KA229-081399 6 Es izaicinu vecumu ar sparu, (ģimnāzija)</t>
  </si>
  <si>
    <t>09.82050</t>
  </si>
  <si>
    <t>Erasmus programmas projekts Nr.2020-1-FR01-KA229-079905 2, Sagatavo mūs nākotnei, (ģimnāzija)</t>
  </si>
  <si>
    <t>09.82052</t>
  </si>
  <si>
    <t>Erasmus programmas projekts Nr.2020-1-TR01-KA229-093575 5 Atklāj patieso dzīvi, (ģimnāzija)</t>
  </si>
  <si>
    <t>09.82051</t>
  </si>
  <si>
    <t>Erasmus programmas projekts Nr.2020-1-TR01-KA229-093837 4, , (ģimnāzija)</t>
  </si>
  <si>
    <t>09.82053</t>
  </si>
  <si>
    <t>Erasmus programmas projekts Nr.2020-1-LV01-KA101-077362 Skolu mācību mobilitāte (Madlienas)</t>
  </si>
  <si>
    <t>09.82054</t>
  </si>
  <si>
    <t>04.51005</t>
  </si>
  <si>
    <t>Blaumaņa ielas Ogrē pārbūve</t>
  </si>
  <si>
    <t>04.51020</t>
  </si>
  <si>
    <t>Rožu ielas Ogrē pārbūve</t>
  </si>
  <si>
    <t>04.51022</t>
  </si>
  <si>
    <t>04.51023</t>
  </si>
  <si>
    <t>04.51024</t>
  </si>
  <si>
    <t>Egļu ielas Ogrē pārbūve</t>
  </si>
  <si>
    <t>Kadiķu ielas Ogrē pārbūve</t>
  </si>
  <si>
    <t>“Gājēju un veloceliņa izbūve gar autoceļa V996 "Ogre – Viskāļi - Koknese" brauktuves malu posmā no Ogres līdz Ogresgalam</t>
  </si>
  <si>
    <t>04.51025</t>
  </si>
  <si>
    <t>Lēdmanes ielas Ogrē pārbūve</t>
  </si>
  <si>
    <t>Birzgales ielas, Ogrē pārbūve</t>
  </si>
  <si>
    <t>06.60029</t>
  </si>
  <si>
    <t>Tirgus laukuma Suntažos uzturēšanai</t>
  </si>
  <si>
    <t>Reliģisko organizāciju un citu biedrību un nodibinājumu pakalpojumi (Sakrālā mantojuma saglabāšana)</t>
  </si>
  <si>
    <t>04.51026</t>
  </si>
  <si>
    <t>Gājēju ietves izbūve Madlienā</t>
  </si>
  <si>
    <t>Civilās aizsardzības pasākumi (COVID-19 izdevumi)</t>
  </si>
  <si>
    <t>Projekts "Uzņēmējdarbības attīstība Ogres stacijas rajonā, pārbūvējot uzņēmējiem svarīgu ielas posmu un laukumu Ogrē'' un Stacijas laukuma stāvlaukuma pārbūve.</t>
  </si>
  <si>
    <t>Finansējums bērniem, kuri apmeklē privātās izglītības iestādes</t>
  </si>
  <si>
    <t>09.21912</t>
  </si>
  <si>
    <t>ES projekts Digitālo mācību un metodisko līdzekļu izstrāde Uzdevumi.lv modernizācijai Nr.8.3.1.2/19/A/005.(1.vsk.)</t>
  </si>
  <si>
    <t>09.82055</t>
  </si>
  <si>
    <t>Pārējie iepriekš neklasificētie vispārējie valdības dienesti (Vēlēšanas)</t>
  </si>
  <si>
    <t xml:space="preserve">LAD projekts  "Rotaļu laukuma izveide Ogres novada Ķeipenes pagastā" </t>
  </si>
  <si>
    <t>09.82056</t>
  </si>
  <si>
    <t>Jaunu Pašvaldības pakalpojumu sniegšanas veidu attīstība</t>
  </si>
  <si>
    <t>Ogres novada pašvaldības 2021.gada pamatbudžeta ieņēmumi.</t>
  </si>
  <si>
    <t xml:space="preserve">Ogres un Ogresgala 2021.g. budžets </t>
  </si>
  <si>
    <t>Pašvald. aģentūras "Ogres komunikācijas" 2021.g. budžets</t>
  </si>
  <si>
    <t>Pašvald. aģentūras "Kultūras centrs" 2021.g. budžets</t>
  </si>
  <si>
    <t>Pašvald. aģentūras "Rosme" 2021.g. budžets</t>
  </si>
  <si>
    <t>Suntažu pagasta pārvaldes 2021.g. budžets</t>
  </si>
  <si>
    <t>Lauberes pagasta pārvaldes 2021.g. budžets</t>
  </si>
  <si>
    <t>Ķeipenes pagasta pārvaldes 2021.g. budžets</t>
  </si>
  <si>
    <t>Madlienas pagasta pārvaldes 2021.g. budžets</t>
  </si>
  <si>
    <t>Krapes pagasta pārvaldes 2021.g. budžets</t>
  </si>
  <si>
    <t>Mazozolu pagasta pārvaldes 2021.g. budžets</t>
  </si>
  <si>
    <t>Meņģeles pagasta pārvaldes 2021.g. budžets</t>
  </si>
  <si>
    <t>Taurupes pagasta pārvaldes 2021.g. budžets</t>
  </si>
  <si>
    <t>Ogres novada pašvaldības 2021.g. budžets</t>
  </si>
  <si>
    <t>Budžeta  atl.uz  01. 01. 2021.g.        F22010010</t>
  </si>
  <si>
    <t>Ogres novada pašvaldības 2021. gada pamatbudžeta  izdevumi atbilstoši funkcionālajām kategorijām.</t>
  </si>
  <si>
    <t>Iekārtā (gājēju) tilta pār Ogres upi teritorijā starp J.Čakstes pr. un Ogres ielu Ogrē, būvniecība</t>
  </si>
  <si>
    <t>04.51027</t>
  </si>
  <si>
    <t>Madlienas pag. autoceļa A1 posma no P32 līdz iebrauktuvei uz Madlienas vidusskolu pārbūve</t>
  </si>
  <si>
    <t>04.51028</t>
  </si>
  <si>
    <t>Poruka ielas, Ogrē pārbūve</t>
  </si>
  <si>
    <t>04.51029</t>
  </si>
  <si>
    <t xml:space="preserve">Čakstes/Strēlnieku prospekta līdz Dārza ielai atjaunošana </t>
  </si>
  <si>
    <t>04.51030</t>
  </si>
  <si>
    <t xml:space="preserve">Čakstes prospekta no Mazās Ķentes ielas līdz Skalbju ielai atjaunošana </t>
  </si>
  <si>
    <t>04.51031</t>
  </si>
  <si>
    <t xml:space="preserve">Dārza ielas līdz autoceļam A6 atjaunošana </t>
  </si>
  <si>
    <t>04.51032</t>
  </si>
  <si>
    <t>Lielvārdes ielas virsmas atjaunošana</t>
  </si>
  <si>
    <t>04.51033</t>
  </si>
  <si>
    <t xml:space="preserve">Stirnu ielas virsmas atjaunošana </t>
  </si>
  <si>
    <t>04.51034</t>
  </si>
  <si>
    <t>Miera ielas pārbūve</t>
  </si>
  <si>
    <t>04.51035</t>
  </si>
  <si>
    <t>Bumbieru ielas, Ogresgalā pārbūve</t>
  </si>
  <si>
    <t>04.51037</t>
  </si>
  <si>
    <t>Autostāvlaukuma izbūve Mālkalnes prospektā 43, Ogrē</t>
  </si>
  <si>
    <t>04.51038</t>
  </si>
  <si>
    <t>Velo trase ar izciļņiem (Pump track)</t>
  </si>
  <si>
    <t>04.51039</t>
  </si>
  <si>
    <t>Ceriņu ielas, Ogrē pārbūve</t>
  </si>
  <si>
    <t>05.30013</t>
  </si>
  <si>
    <t>Ogres pašvaldības ēkas Skolas ielā 12, Ogrē energoefektivitātes paaugstināšana izmantojot atjaunojamos energoresursus Projekta Nr. 4.2.2.0/20/I/009</t>
  </si>
  <si>
    <t>05.30014</t>
  </si>
  <si>
    <t>Ogresgala pagasta pirmsskolas izglītības iestādes “Ābelīte” energoefektivitātes pasākumi (atjaunošana)</t>
  </si>
  <si>
    <t>06.60030</t>
  </si>
  <si>
    <t>Bākas uz mola projektēšana un būvniecība</t>
  </si>
  <si>
    <t>09.82057</t>
  </si>
  <si>
    <t>Erasmus programmas projekts Nr.2020-1-TR01-KA229-092959 4, Pusaudžu domasi, (sākumskola)</t>
  </si>
  <si>
    <t>09.82058</t>
  </si>
  <si>
    <t>Erasmus programmas projekts Nr.2020-1-DE03-KA229-077592 6, Eiropas ilgtspējīgas un pietiekamības skola, (1.VSK.)</t>
  </si>
  <si>
    <t>Ogres novada pašvaldības 2021. gada pamatbudžeta  izdevumi atbilstoši ekonomiskajām kategorijām.</t>
  </si>
  <si>
    <t>08.29025</t>
  </si>
  <si>
    <t>"Ogre-Eiropas kultūras galvaspilsēta 2027"</t>
  </si>
  <si>
    <t>06.60031</t>
  </si>
  <si>
    <t>Projekts "Sugu un biotopu stāvokļa uzlabošanas pasākumi īpaši aizsargājamajā dabas teritorijā "Ogres ieleja""</t>
  </si>
  <si>
    <t>04.51040</t>
  </si>
  <si>
    <t>06.3002</t>
  </si>
  <si>
    <t>09.82059</t>
  </si>
  <si>
    <t>09.82060</t>
  </si>
  <si>
    <t>"Meža prospekta posms piekļuves nodrošināšanai skolas un sporta ēkai Meža prospektā 17, Ogrē"</t>
  </si>
  <si>
    <t>Urbuma un ūdensapgādes sistēmas būvniecība Krapē daudzdzīvokļu mājai “Modernieki”</t>
  </si>
  <si>
    <t>Vides pieejamības nodrošināšanai Ogres Valsts ģimnāzijai</t>
  </si>
  <si>
    <t>"Pašvaldības ēkas fasādes un kabinetu (telpu grupu) atjaunošana Ziedu ielā3, Ķeipenē"</t>
  </si>
  <si>
    <t>08.4001</t>
  </si>
  <si>
    <t>17.06.2021. Saistošajiem noteikumiem Nr.10/2021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</si>
</sst>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  <numFmt numFmtId="227" formatCode="#,##0_);\(#,##0\)"/>
  </numFmts>
  <fonts count="3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0" fontId="21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13" fillId="6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9" fillId="5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24" borderId="10" xfId="0" applyNumberFormat="1" applyFont="1" applyFill="1" applyBorder="1" applyAlignment="1">
      <alignment/>
    </xf>
    <xf numFmtId="0" fontId="5" fillId="0" borderId="11" xfId="51" applyFont="1" applyBorder="1" applyAlignment="1">
      <alignment horizontal="left" wrapText="1"/>
      <protection/>
    </xf>
    <xf numFmtId="0" fontId="5" fillId="0" borderId="12" xfId="51" applyFont="1" applyBorder="1" applyAlignment="1">
      <alignment horizontal="left" wrapText="1"/>
      <protection/>
    </xf>
    <xf numFmtId="0" fontId="5" fillId="0" borderId="13" xfId="51" applyFont="1" applyBorder="1" applyAlignment="1">
      <alignment horizontal="left" wrapText="1"/>
      <protection/>
    </xf>
    <xf numFmtId="3" fontId="5" fillId="0" borderId="10" xfId="0" applyNumberFormat="1" applyFont="1" applyBorder="1" applyAlignment="1">
      <alignment horizontal="left" wrapText="1"/>
    </xf>
    <xf numFmtId="3" fontId="5" fillId="25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5" fillId="0" borderId="10" xfId="57" applyFont="1" applyBorder="1" applyAlignment="1">
      <alignment wrapText="1"/>
      <protection/>
    </xf>
    <xf numFmtId="49" fontId="6" fillId="0" borderId="14" xfId="57" applyNumberFormat="1" applyFont="1" applyBorder="1" applyAlignment="1">
      <alignment horizontal="right"/>
      <protection/>
    </xf>
    <xf numFmtId="49" fontId="5" fillId="0" borderId="14" xfId="57" applyNumberFormat="1" applyFont="1" applyBorder="1" applyAlignment="1">
      <alignment horizontal="right"/>
      <protection/>
    </xf>
    <xf numFmtId="49" fontId="5" fillId="0" borderId="15" xfId="57" applyNumberFormat="1" applyFont="1" applyBorder="1" applyAlignment="1">
      <alignment horizontal="right"/>
      <protection/>
    </xf>
    <xf numFmtId="0" fontId="25" fillId="0" borderId="10" xfId="51" applyFont="1" applyBorder="1" applyAlignment="1">
      <alignment horizontal="left" wrapText="1"/>
      <protection/>
    </xf>
    <xf numFmtId="0" fontId="25" fillId="25" borderId="10" xfId="51" applyFont="1" applyFill="1" applyBorder="1" applyAlignment="1">
      <alignment horizontal="left" wrapText="1"/>
      <protection/>
    </xf>
    <xf numFmtId="49" fontId="5" fillId="0" borderId="16" xfId="57" applyNumberFormat="1" applyFont="1" applyBorder="1" applyAlignment="1">
      <alignment horizontal="right"/>
      <protection/>
    </xf>
    <xf numFmtId="0" fontId="5" fillId="0" borderId="12" xfId="57" applyFont="1" applyBorder="1" applyAlignment="1">
      <alignment wrapText="1"/>
      <protection/>
    </xf>
    <xf numFmtId="49" fontId="6" fillId="0" borderId="17" xfId="57" applyNumberFormat="1" applyFont="1" applyBorder="1" applyAlignment="1">
      <alignment horizontal="right"/>
      <protection/>
    </xf>
    <xf numFmtId="0" fontId="25" fillId="0" borderId="12" xfId="51" applyFont="1" applyBorder="1" applyAlignment="1">
      <alignment horizontal="left" wrapText="1"/>
      <protection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 horizontal="center" wrapText="1"/>
    </xf>
    <xf numFmtId="0" fontId="5" fillId="0" borderId="18" xfId="54" applyFont="1" applyFill="1" applyBorder="1" applyAlignment="1">
      <alignment vertical="center" wrapText="1"/>
      <protection/>
    </xf>
    <xf numFmtId="3" fontId="5" fillId="0" borderId="10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5" fillId="0" borderId="10" xfId="51" applyFont="1" applyFill="1" applyBorder="1" applyAlignment="1">
      <alignment horizontal="left" wrapText="1"/>
      <protection/>
    </xf>
    <xf numFmtId="0" fontId="5" fillId="0" borderId="12" xfId="51" applyFont="1" applyFill="1" applyBorder="1" applyAlignment="1">
      <alignment horizontal="left" wrapText="1"/>
      <protection/>
    </xf>
    <xf numFmtId="3" fontId="5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/>
    </xf>
    <xf numFmtId="3" fontId="6" fillId="0" borderId="2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0" applyFont="1" applyFill="1" applyBorder="1" applyAlignment="1" applyProtection="1">
      <alignment horizontal="center" vertical="center" wrapText="1"/>
      <protection/>
    </xf>
    <xf numFmtId="3" fontId="6" fillId="0" borderId="22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wrapText="1"/>
    </xf>
    <xf numFmtId="3" fontId="6" fillId="0" borderId="18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left"/>
    </xf>
    <xf numFmtId="3" fontId="5" fillId="0" borderId="27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wrapText="1"/>
    </xf>
    <xf numFmtId="3" fontId="5" fillId="0" borderId="32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 horizontal="left"/>
    </xf>
    <xf numFmtId="3" fontId="5" fillId="0" borderId="31" xfId="0" applyNumberFormat="1" applyFont="1" applyFill="1" applyBorder="1" applyAlignment="1">
      <alignment wrapText="1"/>
    </xf>
    <xf numFmtId="3" fontId="5" fillId="25" borderId="3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5" fillId="0" borderId="15" xfId="0" applyFont="1" applyBorder="1" applyAlignment="1">
      <alignment horizontal="left"/>
    </xf>
    <xf numFmtId="0" fontId="6" fillId="0" borderId="20" xfId="0" applyFont="1" applyBorder="1" applyAlignment="1">
      <alignment wrapText="1"/>
    </xf>
    <xf numFmtId="3" fontId="5" fillId="25" borderId="20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left"/>
    </xf>
    <xf numFmtId="3" fontId="5" fillId="0" borderId="38" xfId="0" applyNumberFormat="1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 wrapText="1"/>
    </xf>
    <xf numFmtId="3" fontId="5" fillId="0" borderId="39" xfId="0" applyNumberFormat="1" applyFont="1" applyFill="1" applyBorder="1" applyAlignment="1">
      <alignment/>
    </xf>
    <xf numFmtId="3" fontId="5" fillId="24" borderId="40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wrapText="1"/>
    </xf>
    <xf numFmtId="3" fontId="6" fillId="0" borderId="28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 wrapText="1"/>
    </xf>
    <xf numFmtId="3" fontId="6" fillId="0" borderId="18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horizontal="left" wrapText="1"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 horizontal="left" wrapText="1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5" fillId="25" borderId="1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 applyProtection="1">
      <alignment horizontal="center" vertical="center" wrapText="1"/>
      <protection/>
    </xf>
    <xf numFmtId="3" fontId="5" fillId="0" borderId="44" xfId="53" applyNumberFormat="1" applyFont="1" applyFill="1" applyBorder="1" applyAlignment="1">
      <alignment horizontal="center" vertical="center" wrapText="1"/>
      <protection/>
    </xf>
    <xf numFmtId="3" fontId="5" fillId="0" borderId="18" xfId="54" applyNumberFormat="1" applyFont="1" applyFill="1" applyBorder="1" applyAlignment="1">
      <alignment vertical="center" wrapText="1"/>
      <protection/>
    </xf>
    <xf numFmtId="3" fontId="5" fillId="0" borderId="24" xfId="54" applyNumberFormat="1" applyFont="1" applyFill="1" applyBorder="1" applyAlignment="1">
      <alignment vertical="center" wrapText="1"/>
      <protection/>
    </xf>
    <xf numFmtId="3" fontId="6" fillId="0" borderId="23" xfId="50" applyNumberFormat="1" applyFont="1" applyFill="1" applyBorder="1" applyAlignment="1" applyProtection="1">
      <alignment horizontal="center" vertical="center" wrapText="1"/>
      <protection/>
    </xf>
    <xf numFmtId="3" fontId="6" fillId="0" borderId="22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wrapText="1"/>
    </xf>
    <xf numFmtId="3" fontId="6" fillId="0" borderId="19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25" borderId="26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/>
    </xf>
    <xf numFmtId="3" fontId="6" fillId="25" borderId="11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5" fillId="25" borderId="19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wrapText="1"/>
    </xf>
    <xf numFmtId="3" fontId="6" fillId="0" borderId="42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 horizontal="right"/>
    </xf>
    <xf numFmtId="3" fontId="5" fillId="0" borderId="31" xfId="51" applyNumberFormat="1" applyFont="1" applyFill="1" applyBorder="1" applyAlignment="1">
      <alignment horizontal="left" wrapText="1"/>
      <protection/>
    </xf>
    <xf numFmtId="3" fontId="5" fillId="25" borderId="37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57" applyNumberFormat="1" applyFont="1" applyBorder="1" applyAlignment="1">
      <alignment horizontal="right"/>
      <protection/>
    </xf>
    <xf numFmtId="3" fontId="6" fillId="0" borderId="12" xfId="57" applyNumberFormat="1" applyFont="1" applyBorder="1" applyAlignment="1">
      <alignment wrapText="1"/>
      <protection/>
    </xf>
    <xf numFmtId="3" fontId="6" fillId="0" borderId="3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3" fontId="5" fillId="0" borderId="10" xfId="51" applyNumberFormat="1" applyFont="1" applyFill="1" applyBorder="1" applyAlignment="1">
      <alignment horizontal="left" wrapText="1"/>
      <protection/>
    </xf>
    <xf numFmtId="49" fontId="5" fillId="0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wrapText="1"/>
    </xf>
    <xf numFmtId="3" fontId="6" fillId="0" borderId="16" xfId="57" applyNumberFormat="1" applyFont="1" applyBorder="1" applyAlignment="1">
      <alignment horizontal="right"/>
      <protection/>
    </xf>
    <xf numFmtId="3" fontId="6" fillId="0" borderId="18" xfId="0" applyNumberFormat="1" applyFont="1" applyFill="1" applyBorder="1" applyAlignment="1">
      <alignment horizontal="left" wrapText="1"/>
    </xf>
    <xf numFmtId="3" fontId="6" fillId="0" borderId="4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 horizontal="right"/>
    </xf>
    <xf numFmtId="3" fontId="5" fillId="0" borderId="13" xfId="51" applyNumberFormat="1" applyFont="1" applyFill="1" applyBorder="1" applyAlignment="1">
      <alignment horizontal="left" wrapText="1"/>
      <protection/>
    </xf>
    <xf numFmtId="3" fontId="6" fillId="25" borderId="19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left" wrapText="1"/>
    </xf>
    <xf numFmtId="3" fontId="5" fillId="25" borderId="10" xfId="57" applyNumberFormat="1" applyFont="1" applyFill="1" applyBorder="1" applyAlignment="1">
      <alignment horizontal="left" wrapText="1"/>
      <protection/>
    </xf>
    <xf numFmtId="3" fontId="5" fillId="0" borderId="50" xfId="0" applyNumberFormat="1" applyFont="1" applyFill="1" applyBorder="1" applyAlignment="1">
      <alignment/>
    </xf>
    <xf numFmtId="3" fontId="5" fillId="0" borderId="31" xfId="0" applyNumberFormat="1" applyFont="1" applyBorder="1" applyAlignment="1">
      <alignment horizontal="left" wrapText="1"/>
    </xf>
    <xf numFmtId="3" fontId="6" fillId="0" borderId="31" xfId="0" applyNumberFormat="1" applyFont="1" applyBorder="1" applyAlignment="1">
      <alignment horizontal="left" wrapText="1"/>
    </xf>
    <xf numFmtId="3" fontId="6" fillId="25" borderId="26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 horizontal="left"/>
    </xf>
    <xf numFmtId="3" fontId="6" fillId="0" borderId="52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wrapText="1"/>
    </xf>
    <xf numFmtId="3" fontId="6" fillId="0" borderId="54" xfId="0" applyNumberFormat="1" applyFon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3" fontId="6" fillId="0" borderId="56" xfId="0" applyNumberFormat="1" applyFont="1" applyFill="1" applyBorder="1" applyAlignment="1">
      <alignment/>
    </xf>
    <xf numFmtId="3" fontId="5" fillId="0" borderId="15" xfId="57" applyNumberFormat="1" applyFont="1" applyBorder="1" applyAlignment="1">
      <alignment horizontal="right"/>
      <protection/>
    </xf>
    <xf numFmtId="3" fontId="5" fillId="0" borderId="10" xfId="51" applyNumberFormat="1" applyFont="1" applyBorder="1" applyAlignment="1">
      <alignment horizontal="left" wrapText="1"/>
      <protection/>
    </xf>
    <xf numFmtId="3" fontId="25" fillId="0" borderId="10" xfId="51" applyNumberFormat="1" applyFont="1" applyBorder="1" applyAlignment="1">
      <alignment horizontal="left" wrapText="1"/>
      <protection/>
    </xf>
    <xf numFmtId="3" fontId="25" fillId="0" borderId="12" xfId="51" applyNumberFormat="1" applyFont="1" applyBorder="1" applyAlignment="1">
      <alignment horizontal="left" wrapText="1"/>
      <protection/>
    </xf>
    <xf numFmtId="3" fontId="25" fillId="0" borderId="31" xfId="51" applyNumberFormat="1" applyFont="1" applyBorder="1" applyAlignment="1">
      <alignment horizontal="left" wrapText="1"/>
      <protection/>
    </xf>
    <xf numFmtId="3" fontId="5" fillId="0" borderId="10" xfId="0" applyNumberFormat="1" applyFont="1" applyFill="1" applyBorder="1" applyAlignment="1">
      <alignment horizontal="left" wrapText="1"/>
    </xf>
    <xf numFmtId="3" fontId="5" fillId="0" borderId="10" xfId="52" applyNumberFormat="1" applyFont="1" applyFill="1" applyBorder="1" applyAlignment="1">
      <alignment horizontal="left" wrapText="1"/>
      <protection/>
    </xf>
    <xf numFmtId="3" fontId="5" fillId="0" borderId="10" xfId="57" applyNumberFormat="1" applyFont="1" applyBorder="1" applyAlignment="1">
      <alignment horizontal="right"/>
      <protection/>
    </xf>
    <xf numFmtId="3" fontId="6" fillId="0" borderId="20" xfId="0" applyNumberFormat="1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 wrapText="1"/>
    </xf>
    <xf numFmtId="3" fontId="5" fillId="0" borderId="0" xfId="50" applyNumberFormat="1" applyFont="1" applyFill="1" applyBorder="1" applyAlignment="1">
      <alignment horizontal="left" wrapText="1"/>
      <protection/>
    </xf>
    <xf numFmtId="3" fontId="28" fillId="0" borderId="0" xfId="0" applyNumberFormat="1" applyFont="1" applyFill="1" applyBorder="1" applyAlignment="1">
      <alignment horizontal="right" wrapText="1"/>
    </xf>
    <xf numFmtId="3" fontId="30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wrapText="1"/>
    </xf>
    <xf numFmtId="3" fontId="3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55" applyFont="1" applyFill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left" wrapText="1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28" fillId="0" borderId="0" xfId="0" applyNumberFormat="1" applyFont="1" applyFill="1" applyAlignment="1">
      <alignment/>
    </xf>
    <xf numFmtId="3" fontId="5" fillId="0" borderId="0" xfId="55" applyNumberFormat="1" applyFont="1" applyFill="1" applyAlignment="1">
      <alignment horizontal="right"/>
      <protection/>
    </xf>
    <xf numFmtId="3" fontId="5" fillId="0" borderId="0" xfId="55" applyNumberFormat="1" applyFont="1" applyFill="1" applyAlignment="1">
      <alignment horizontal="left"/>
      <protection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 horizontal="left"/>
    </xf>
    <xf numFmtId="3" fontId="2" fillId="0" borderId="45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/>
    </xf>
    <xf numFmtId="0" fontId="31" fillId="0" borderId="10" xfId="57" applyFont="1" applyBorder="1" applyAlignment="1">
      <alignment horizontal="left" wrapText="1"/>
      <protection/>
    </xf>
    <xf numFmtId="0" fontId="25" fillId="0" borderId="13" xfId="51" applyFont="1" applyBorder="1" applyAlignment="1">
      <alignment horizontal="left" wrapText="1"/>
      <protection/>
    </xf>
    <xf numFmtId="49" fontId="5" fillId="0" borderId="10" xfId="57" applyNumberFormat="1" applyFont="1" applyBorder="1" applyAlignment="1">
      <alignment horizontal="right"/>
      <protection/>
    </xf>
    <xf numFmtId="0" fontId="5" fillId="0" borderId="24" xfId="54" applyFont="1" applyFill="1" applyBorder="1" applyAlignment="1">
      <alignment vertical="center" wrapText="1"/>
      <protection/>
    </xf>
    <xf numFmtId="3" fontId="2" fillId="0" borderId="26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left" wrapText="1"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left" wrapText="1"/>
      <protection/>
    </xf>
    <xf numFmtId="0" fontId="5" fillId="0" borderId="26" xfId="0" applyFont="1" applyFill="1" applyBorder="1" applyAlignment="1">
      <alignment horizontal="left" wrapText="1"/>
    </xf>
    <xf numFmtId="1" fontId="5" fillId="0" borderId="27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/>
    </xf>
    <xf numFmtId="0" fontId="32" fillId="0" borderId="53" xfId="57" applyFont="1" applyBorder="1" applyAlignment="1">
      <alignment horizontal="left" wrapText="1"/>
      <protection/>
    </xf>
    <xf numFmtId="3" fontId="33" fillId="0" borderId="10" xfId="0" applyNumberFormat="1" applyFont="1" applyFill="1" applyBorder="1" applyAlignment="1">
      <alignment/>
    </xf>
    <xf numFmtId="0" fontId="5" fillId="0" borderId="31" xfId="51" applyFont="1" applyFill="1" applyBorder="1" applyAlignment="1">
      <alignment horizontal="left" wrapText="1"/>
      <protection/>
    </xf>
    <xf numFmtId="0" fontId="32" fillId="0" borderId="10" xfId="57" applyFont="1" applyBorder="1" applyAlignment="1">
      <alignment horizontal="left" wrapText="1"/>
      <protection/>
    </xf>
    <xf numFmtId="3" fontId="5" fillId="0" borderId="2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44" xfId="53" applyFont="1" applyFill="1" applyBorder="1" applyAlignment="1">
      <alignment horizontal="center" vertical="center" wrapText="1"/>
      <protection/>
    </xf>
    <xf numFmtId="3" fontId="5" fillId="25" borderId="10" xfId="0" applyNumberFormat="1" applyFont="1" applyFill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0" fontId="29" fillId="0" borderId="0" xfId="0" applyFont="1" applyFill="1" applyAlignment="1">
      <alignment horizontal="center"/>
    </xf>
    <xf numFmtId="3" fontId="29" fillId="0" borderId="58" xfId="0" applyNumberFormat="1" applyFont="1" applyFill="1" applyBorder="1" applyAlignment="1">
      <alignment horizontal="center" wrapText="1"/>
    </xf>
  </cellXfs>
  <cellStyles count="56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 3" xfId="50"/>
    <cellStyle name="Normal_PROJEKTI_2016_PLĀNS_Aija un Inese" xfId="51"/>
    <cellStyle name="Normal_PROJEKTI_2016_PLĀNS_Aija un Inese 2" xfId="52"/>
    <cellStyle name="Normal_Sheet1" xfId="53"/>
    <cellStyle name="Normal_Sheet1_Pielikumi oktobra korekcijam 2" xfId="54"/>
    <cellStyle name="Normal_Specbudz.kopsavilkums 2006.g un korekc. 2" xfId="55"/>
    <cellStyle name="Nosaukums" xfId="56"/>
    <cellStyle name="Parasts 2" xfId="57"/>
    <cellStyle name="Paskaidrojošs teksts" xfId="58"/>
    <cellStyle name="Pārbaudes šūna" xfId="59"/>
    <cellStyle name="Piezīme" xfId="60"/>
    <cellStyle name="Percent" xfId="61"/>
    <cellStyle name="Saistīta šūna" xfId="62"/>
    <cellStyle name="Slikts" xfId="63"/>
    <cellStyle name="Currency" xfId="64"/>
    <cellStyle name="Currency [0]" xfId="65"/>
    <cellStyle name="Virsraksts 1" xfId="66"/>
    <cellStyle name="Virsraksts 2" xfId="67"/>
    <cellStyle name="Virsraksts 3" xfId="68"/>
    <cellStyle name="Virsraksts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98" zoomScaleNormal="98" zoomScalePageLayoutView="0" workbookViewId="0" topLeftCell="A1">
      <pane xSplit="2" ySplit="7" topLeftCell="C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5" sqref="L5"/>
    </sheetView>
  </sheetViews>
  <sheetFormatPr defaultColWidth="9.140625" defaultRowHeight="12.75"/>
  <cols>
    <col min="1" max="1" width="13.28125" style="24" customWidth="1"/>
    <col min="2" max="2" width="41.00390625" style="202" customWidth="1"/>
    <col min="3" max="3" width="12.7109375" style="24" customWidth="1"/>
    <col min="4" max="4" width="13.8515625" style="204" customWidth="1"/>
    <col min="5" max="5" width="10.7109375" style="24" customWidth="1"/>
    <col min="6" max="6" width="11.00390625" style="24" customWidth="1"/>
    <col min="7" max="7" width="10.8515625" style="24" bestFit="1" customWidth="1"/>
    <col min="8" max="8" width="9.7109375" style="24" customWidth="1"/>
    <col min="9" max="9" width="10.421875" style="24" customWidth="1"/>
    <col min="10" max="10" width="11.28125" style="24" customWidth="1"/>
    <col min="11" max="11" width="10.00390625" style="24" customWidth="1"/>
    <col min="12" max="12" width="9.7109375" style="24" customWidth="1"/>
    <col min="13" max="13" width="10.421875" style="24" customWidth="1"/>
    <col min="14" max="14" width="10.28125" style="24" customWidth="1"/>
    <col min="15" max="15" width="15.421875" style="206" customWidth="1"/>
    <col min="16" max="16384" width="9.140625" style="24" customWidth="1"/>
  </cols>
  <sheetData>
    <row r="1" spans="5:15" ht="15">
      <c r="E1" s="205"/>
      <c r="F1" s="205"/>
      <c r="O1" s="23" t="s">
        <v>10</v>
      </c>
    </row>
    <row r="2" spans="1:15" ht="15">
      <c r="A2" s="207"/>
      <c r="E2" s="207"/>
      <c r="F2" s="207"/>
      <c r="O2" s="23" t="s">
        <v>385</v>
      </c>
    </row>
    <row r="3" spans="1:15" ht="15">
      <c r="A3" s="207"/>
      <c r="E3" s="207"/>
      <c r="F3" s="207"/>
      <c r="O3" s="23" t="s">
        <v>541</v>
      </c>
    </row>
    <row r="5" spans="1:4" ht="20.25">
      <c r="A5" s="249" t="s">
        <v>476</v>
      </c>
      <c r="B5" s="249"/>
      <c r="C5" s="249"/>
      <c r="D5" s="249"/>
    </row>
    <row r="6" spans="1:13" ht="15.75" thickBot="1">
      <c r="A6" s="207"/>
      <c r="B6" s="208"/>
      <c r="C6" s="207"/>
      <c r="M6" s="209"/>
    </row>
    <row r="7" spans="1:15" ht="104.25" customHeight="1" thickBot="1">
      <c r="A7" s="39" t="s">
        <v>9</v>
      </c>
      <c r="B7" s="40" t="s">
        <v>127</v>
      </c>
      <c r="C7" s="42" t="s">
        <v>477</v>
      </c>
      <c r="D7" s="246" t="s">
        <v>478</v>
      </c>
      <c r="E7" s="41" t="s">
        <v>479</v>
      </c>
      <c r="F7" s="41" t="s">
        <v>480</v>
      </c>
      <c r="G7" s="26" t="s">
        <v>481</v>
      </c>
      <c r="H7" s="26" t="s">
        <v>482</v>
      </c>
      <c r="I7" s="26" t="s">
        <v>483</v>
      </c>
      <c r="J7" s="26" t="s">
        <v>484</v>
      </c>
      <c r="K7" s="26" t="s">
        <v>485</v>
      </c>
      <c r="L7" s="26" t="s">
        <v>486</v>
      </c>
      <c r="M7" s="26" t="s">
        <v>487</v>
      </c>
      <c r="N7" s="230" t="s">
        <v>488</v>
      </c>
      <c r="O7" s="43" t="s">
        <v>489</v>
      </c>
    </row>
    <row r="8" spans="1:15" ht="15.75" thickBot="1">
      <c r="A8" s="44"/>
      <c r="B8" s="45" t="s">
        <v>21</v>
      </c>
      <c r="C8" s="46">
        <f>C9+C12+C17+C18</f>
        <v>22870905</v>
      </c>
      <c r="D8" s="46">
        <f aca="true" t="shared" si="0" ref="D8:N8">D9+D12+D18</f>
        <v>0</v>
      </c>
      <c r="E8" s="46">
        <f t="shared" si="0"/>
        <v>0</v>
      </c>
      <c r="F8" s="47">
        <f t="shared" si="0"/>
        <v>0</v>
      </c>
      <c r="G8" s="46">
        <f>G9+G12+G18</f>
        <v>109850</v>
      </c>
      <c r="H8" s="46">
        <f t="shared" si="0"/>
        <v>50140</v>
      </c>
      <c r="I8" s="46">
        <f t="shared" si="0"/>
        <v>45000</v>
      </c>
      <c r="J8" s="46">
        <f t="shared" si="0"/>
        <v>104008</v>
      </c>
      <c r="K8" s="46">
        <f t="shared" si="0"/>
        <v>57000</v>
      </c>
      <c r="L8" s="46">
        <f t="shared" si="0"/>
        <v>49000</v>
      </c>
      <c r="M8" s="46">
        <f t="shared" si="0"/>
        <v>50480</v>
      </c>
      <c r="N8" s="46">
        <f t="shared" si="0"/>
        <v>74000</v>
      </c>
      <c r="O8" s="48">
        <f aca="true" t="shared" si="1" ref="O8:O49">SUM(C8:N8)</f>
        <v>23410383</v>
      </c>
    </row>
    <row r="9" spans="1:15" ht="15">
      <c r="A9" s="49" t="s">
        <v>22</v>
      </c>
      <c r="B9" s="50" t="s">
        <v>128</v>
      </c>
      <c r="C9" s="51">
        <f aca="true" t="shared" si="2" ref="C9:N9">SUM(C10:C11)</f>
        <v>21447122</v>
      </c>
      <c r="D9" s="51">
        <f t="shared" si="2"/>
        <v>0</v>
      </c>
      <c r="E9" s="51">
        <f t="shared" si="2"/>
        <v>0</v>
      </c>
      <c r="F9" s="28">
        <f t="shared" si="2"/>
        <v>0</v>
      </c>
      <c r="G9" s="51">
        <f t="shared" si="2"/>
        <v>0</v>
      </c>
      <c r="H9" s="51">
        <f t="shared" si="2"/>
        <v>0</v>
      </c>
      <c r="I9" s="51">
        <f t="shared" si="2"/>
        <v>0</v>
      </c>
      <c r="J9" s="51">
        <f t="shared" si="2"/>
        <v>0</v>
      </c>
      <c r="K9" s="51">
        <f t="shared" si="2"/>
        <v>0</v>
      </c>
      <c r="L9" s="51">
        <f t="shared" si="2"/>
        <v>0</v>
      </c>
      <c r="M9" s="51">
        <f t="shared" si="2"/>
        <v>0</v>
      </c>
      <c r="N9" s="51">
        <f t="shared" si="2"/>
        <v>0</v>
      </c>
      <c r="O9" s="52">
        <f t="shared" si="1"/>
        <v>21447122</v>
      </c>
    </row>
    <row r="10" spans="1:15" ht="45">
      <c r="A10" s="53" t="s">
        <v>23</v>
      </c>
      <c r="B10" s="27" t="s">
        <v>129</v>
      </c>
      <c r="C10" s="20"/>
      <c r="D10" s="20"/>
      <c r="E10" s="20"/>
      <c r="F10" s="54"/>
      <c r="G10" s="20"/>
      <c r="H10" s="20"/>
      <c r="I10" s="20"/>
      <c r="J10" s="20"/>
      <c r="K10" s="20"/>
      <c r="L10" s="20"/>
      <c r="M10" s="20"/>
      <c r="N10" s="20"/>
      <c r="O10" s="52">
        <f t="shared" si="1"/>
        <v>0</v>
      </c>
    </row>
    <row r="11" spans="1:15" ht="30">
      <c r="A11" s="53" t="s">
        <v>24</v>
      </c>
      <c r="B11" s="27" t="s">
        <v>130</v>
      </c>
      <c r="C11" s="20">
        <v>21447122</v>
      </c>
      <c r="D11" s="20"/>
      <c r="E11" s="20"/>
      <c r="F11" s="54"/>
      <c r="G11" s="20"/>
      <c r="H11" s="20"/>
      <c r="I11" s="20"/>
      <c r="J11" s="20"/>
      <c r="K11" s="20"/>
      <c r="L11" s="20"/>
      <c r="M11" s="20"/>
      <c r="N11" s="20"/>
      <c r="O11" s="52">
        <f t="shared" si="1"/>
        <v>21447122</v>
      </c>
    </row>
    <row r="12" spans="1:15" ht="15">
      <c r="A12" s="55" t="s">
        <v>131</v>
      </c>
      <c r="B12" s="27" t="s">
        <v>132</v>
      </c>
      <c r="C12" s="20">
        <f>C13</f>
        <v>1340783</v>
      </c>
      <c r="D12" s="20"/>
      <c r="E12" s="20"/>
      <c r="F12" s="54"/>
      <c r="G12" s="20">
        <f>G13</f>
        <v>109850</v>
      </c>
      <c r="H12" s="56">
        <f aca="true" t="shared" si="3" ref="H12:N12">H13</f>
        <v>50140</v>
      </c>
      <c r="I12" s="56">
        <f t="shared" si="3"/>
        <v>45000</v>
      </c>
      <c r="J12" s="56">
        <f t="shared" si="3"/>
        <v>104008</v>
      </c>
      <c r="K12" s="56">
        <f t="shared" si="3"/>
        <v>57000</v>
      </c>
      <c r="L12" s="56">
        <f t="shared" si="3"/>
        <v>49000</v>
      </c>
      <c r="M12" s="56">
        <f t="shared" si="3"/>
        <v>50480</v>
      </c>
      <c r="N12" s="56">
        <f t="shared" si="3"/>
        <v>74000</v>
      </c>
      <c r="O12" s="52">
        <f t="shared" si="1"/>
        <v>1880261</v>
      </c>
    </row>
    <row r="13" spans="1:15" ht="15">
      <c r="A13" s="55" t="s">
        <v>25</v>
      </c>
      <c r="B13" s="27" t="s">
        <v>26</v>
      </c>
      <c r="C13" s="20">
        <f>SUM(C14:C16)</f>
        <v>1340783</v>
      </c>
      <c r="D13" s="20"/>
      <c r="E13" s="20"/>
      <c r="F13" s="54"/>
      <c r="G13" s="20">
        <f>SUM(G14:G16)</f>
        <v>109850</v>
      </c>
      <c r="H13" s="20">
        <f aca="true" t="shared" si="4" ref="H13:N13">SUM(H14:H16)</f>
        <v>50140</v>
      </c>
      <c r="I13" s="20">
        <f t="shared" si="4"/>
        <v>45000</v>
      </c>
      <c r="J13" s="20">
        <f t="shared" si="4"/>
        <v>104008</v>
      </c>
      <c r="K13" s="20">
        <f t="shared" si="4"/>
        <v>57000</v>
      </c>
      <c r="L13" s="20">
        <f t="shared" si="4"/>
        <v>49000</v>
      </c>
      <c r="M13" s="20">
        <f t="shared" si="4"/>
        <v>50480</v>
      </c>
      <c r="N13" s="20">
        <f t="shared" si="4"/>
        <v>74000</v>
      </c>
      <c r="O13" s="52">
        <f t="shared" si="1"/>
        <v>1880261</v>
      </c>
    </row>
    <row r="14" spans="1:15" ht="15">
      <c r="A14" s="53" t="s">
        <v>11</v>
      </c>
      <c r="B14" s="27" t="s">
        <v>27</v>
      </c>
      <c r="C14" s="57">
        <v>593098</v>
      </c>
      <c r="D14" s="56"/>
      <c r="E14" s="56"/>
      <c r="F14" s="20"/>
      <c r="G14" s="236">
        <v>93500</v>
      </c>
      <c r="H14" s="56">
        <v>45230</v>
      </c>
      <c r="I14" s="56">
        <v>40000</v>
      </c>
      <c r="J14" s="56">
        <v>93133</v>
      </c>
      <c r="K14" s="20">
        <v>49000</v>
      </c>
      <c r="L14" s="56">
        <v>44800</v>
      </c>
      <c r="M14" s="237">
        <v>47180</v>
      </c>
      <c r="N14" s="60">
        <v>70500</v>
      </c>
      <c r="O14" s="52">
        <f t="shared" si="1"/>
        <v>1076441</v>
      </c>
    </row>
    <row r="15" spans="1:15" ht="15">
      <c r="A15" s="53" t="s">
        <v>12</v>
      </c>
      <c r="B15" s="27" t="s">
        <v>28</v>
      </c>
      <c r="C15" s="56">
        <v>463238</v>
      </c>
      <c r="D15" s="56"/>
      <c r="E15" s="56"/>
      <c r="F15" s="20"/>
      <c r="G15" s="236">
        <v>4950</v>
      </c>
      <c r="H15" s="56">
        <v>2950</v>
      </c>
      <c r="I15" s="56">
        <v>2200</v>
      </c>
      <c r="J15" s="56">
        <v>4386</v>
      </c>
      <c r="K15" s="20">
        <v>8000</v>
      </c>
      <c r="L15" s="56">
        <v>1400</v>
      </c>
      <c r="M15" s="236">
        <v>800</v>
      </c>
      <c r="N15" s="60">
        <v>500</v>
      </c>
      <c r="O15" s="52">
        <f t="shared" si="1"/>
        <v>488424</v>
      </c>
    </row>
    <row r="16" spans="1:15" ht="15">
      <c r="A16" s="53" t="s">
        <v>174</v>
      </c>
      <c r="B16" s="27" t="s">
        <v>175</v>
      </c>
      <c r="C16" s="57">
        <v>284447</v>
      </c>
      <c r="D16" s="56" t="s">
        <v>306</v>
      </c>
      <c r="E16" s="56"/>
      <c r="F16" s="20"/>
      <c r="G16" s="236">
        <v>11400</v>
      </c>
      <c r="H16" s="56">
        <v>1960</v>
      </c>
      <c r="I16" s="20">
        <v>2800</v>
      </c>
      <c r="J16" s="56">
        <v>6489</v>
      </c>
      <c r="K16" s="56"/>
      <c r="L16" s="56">
        <v>2800</v>
      </c>
      <c r="M16" s="236">
        <v>2500</v>
      </c>
      <c r="N16" s="60">
        <v>3000</v>
      </c>
      <c r="O16" s="52">
        <f t="shared" si="1"/>
        <v>315396</v>
      </c>
    </row>
    <row r="17" spans="1:15" ht="15">
      <c r="A17" s="61" t="s">
        <v>13</v>
      </c>
      <c r="B17" s="62" t="s">
        <v>29</v>
      </c>
      <c r="C17" s="64">
        <v>15000</v>
      </c>
      <c r="D17" s="63"/>
      <c r="E17" s="63"/>
      <c r="F17" s="65"/>
      <c r="G17" s="66"/>
      <c r="H17" s="63"/>
      <c r="I17" s="67"/>
      <c r="J17" s="63"/>
      <c r="K17" s="63"/>
      <c r="L17" s="63"/>
      <c r="M17" s="67"/>
      <c r="N17" s="65"/>
      <c r="O17" s="52">
        <f t="shared" si="1"/>
        <v>15000</v>
      </c>
    </row>
    <row r="18" spans="1:15" ht="15.75" thickBot="1">
      <c r="A18" s="68" t="s">
        <v>386</v>
      </c>
      <c r="B18" s="69" t="s">
        <v>252</v>
      </c>
      <c r="C18" s="70">
        <v>68000</v>
      </c>
      <c r="D18" s="67"/>
      <c r="E18" s="67"/>
      <c r="F18" s="71"/>
      <c r="G18" s="67"/>
      <c r="H18" s="67"/>
      <c r="I18" s="67"/>
      <c r="J18" s="67"/>
      <c r="K18" s="67"/>
      <c r="L18" s="67"/>
      <c r="M18" s="67"/>
      <c r="N18" s="71"/>
      <c r="O18" s="72">
        <f t="shared" si="1"/>
        <v>68000</v>
      </c>
    </row>
    <row r="19" spans="1:15" ht="15.75" thickBot="1">
      <c r="A19" s="44"/>
      <c r="B19" s="45" t="s">
        <v>30</v>
      </c>
      <c r="C19" s="46">
        <f>SUM(C20:C27)</f>
        <v>141880</v>
      </c>
      <c r="D19" s="46">
        <f aca="true" t="shared" si="5" ref="D19:N19">SUM(D20:D27)</f>
        <v>200</v>
      </c>
      <c r="E19" s="46">
        <f t="shared" si="5"/>
        <v>0</v>
      </c>
      <c r="F19" s="46">
        <f t="shared" si="5"/>
        <v>0</v>
      </c>
      <c r="G19" s="46">
        <f t="shared" si="5"/>
        <v>4970</v>
      </c>
      <c r="H19" s="46">
        <f t="shared" si="5"/>
        <v>320</v>
      </c>
      <c r="I19" s="46">
        <f t="shared" si="5"/>
        <v>269</v>
      </c>
      <c r="J19" s="46">
        <f t="shared" si="5"/>
        <v>128521</v>
      </c>
      <c r="K19" s="46">
        <f t="shared" si="5"/>
        <v>0</v>
      </c>
      <c r="L19" s="46">
        <f t="shared" si="5"/>
        <v>50</v>
      </c>
      <c r="M19" s="46">
        <f t="shared" si="5"/>
        <v>100</v>
      </c>
      <c r="N19" s="46">
        <f t="shared" si="5"/>
        <v>170</v>
      </c>
      <c r="O19" s="48">
        <f t="shared" si="1"/>
        <v>276480</v>
      </c>
    </row>
    <row r="20" spans="1:15" ht="15">
      <c r="A20" s="73" t="s">
        <v>323</v>
      </c>
      <c r="B20" s="74" t="s">
        <v>324</v>
      </c>
      <c r="C20" s="75">
        <v>60000</v>
      </c>
      <c r="D20" s="35"/>
      <c r="E20" s="35"/>
      <c r="F20" s="34"/>
      <c r="G20" s="35"/>
      <c r="H20" s="34"/>
      <c r="I20" s="34"/>
      <c r="J20" s="34"/>
      <c r="K20" s="34"/>
      <c r="L20" s="34"/>
      <c r="M20" s="34"/>
      <c r="N20" s="34"/>
      <c r="O20" s="76">
        <f t="shared" si="1"/>
        <v>60000</v>
      </c>
    </row>
    <row r="21" spans="1:15" ht="30">
      <c r="A21" s="49" t="s">
        <v>133</v>
      </c>
      <c r="B21" s="50" t="s">
        <v>134</v>
      </c>
      <c r="C21" s="51"/>
      <c r="D21" s="51"/>
      <c r="E21" s="51"/>
      <c r="F21" s="28"/>
      <c r="G21" s="51"/>
      <c r="H21" s="51"/>
      <c r="I21" s="51"/>
      <c r="J21" s="51"/>
      <c r="K21" s="51"/>
      <c r="L21" s="51"/>
      <c r="M21" s="51"/>
      <c r="N21" s="28"/>
      <c r="O21" s="52">
        <f t="shared" si="1"/>
        <v>0</v>
      </c>
    </row>
    <row r="22" spans="1:15" ht="15">
      <c r="A22" s="49" t="s">
        <v>387</v>
      </c>
      <c r="B22" s="50" t="s">
        <v>388</v>
      </c>
      <c r="C22" s="51"/>
      <c r="D22" s="51"/>
      <c r="E22" s="51"/>
      <c r="F22" s="28"/>
      <c r="G22" s="51"/>
      <c r="H22" s="51"/>
      <c r="I22" s="51"/>
      <c r="J22" s="51"/>
      <c r="K22" s="51"/>
      <c r="L22" s="77"/>
      <c r="M22" s="51"/>
      <c r="N22" s="78"/>
      <c r="O22" s="52">
        <f t="shared" si="1"/>
        <v>0</v>
      </c>
    </row>
    <row r="23" spans="1:15" ht="30">
      <c r="A23" s="55" t="s">
        <v>31</v>
      </c>
      <c r="B23" s="27" t="s">
        <v>32</v>
      </c>
      <c r="C23" s="20">
        <v>7180</v>
      </c>
      <c r="D23" s="20">
        <v>200</v>
      </c>
      <c r="E23" s="20"/>
      <c r="F23" s="54"/>
      <c r="G23" s="20"/>
      <c r="H23" s="20">
        <v>200</v>
      </c>
      <c r="I23" s="20">
        <v>50</v>
      </c>
      <c r="J23" s="20">
        <v>2200</v>
      </c>
      <c r="K23" s="20"/>
      <c r="L23" s="56">
        <v>25</v>
      </c>
      <c r="M23" s="20"/>
      <c r="N23" s="60">
        <v>100</v>
      </c>
      <c r="O23" s="52">
        <f t="shared" si="1"/>
        <v>9955</v>
      </c>
    </row>
    <row r="24" spans="1:15" ht="15">
      <c r="A24" s="55" t="s">
        <v>15</v>
      </c>
      <c r="B24" s="27" t="s">
        <v>14</v>
      </c>
      <c r="C24" s="20">
        <v>20950</v>
      </c>
      <c r="D24" s="20"/>
      <c r="E24" s="20"/>
      <c r="F24" s="54"/>
      <c r="G24" s="20">
        <v>1300</v>
      </c>
      <c r="H24" s="20">
        <v>120</v>
      </c>
      <c r="I24" s="20">
        <v>50</v>
      </c>
      <c r="J24" s="20">
        <v>850</v>
      </c>
      <c r="K24" s="20"/>
      <c r="L24" s="56">
        <v>25</v>
      </c>
      <c r="M24" s="20">
        <v>100</v>
      </c>
      <c r="N24" s="60">
        <v>70</v>
      </c>
      <c r="O24" s="52">
        <f t="shared" si="1"/>
        <v>23465</v>
      </c>
    </row>
    <row r="25" spans="1:15" ht="15">
      <c r="A25" s="55" t="s">
        <v>135</v>
      </c>
      <c r="B25" s="27" t="s">
        <v>136</v>
      </c>
      <c r="C25" s="20">
        <v>31100</v>
      </c>
      <c r="D25" s="20"/>
      <c r="E25" s="20"/>
      <c r="F25" s="54"/>
      <c r="G25" s="20"/>
      <c r="H25" s="20"/>
      <c r="I25" s="20"/>
      <c r="J25" s="20"/>
      <c r="K25" s="20"/>
      <c r="L25" s="20"/>
      <c r="M25" s="20"/>
      <c r="N25" s="54"/>
      <c r="O25" s="52">
        <f t="shared" si="1"/>
        <v>31100</v>
      </c>
    </row>
    <row r="26" spans="1:15" ht="15">
      <c r="A26" s="55" t="s">
        <v>389</v>
      </c>
      <c r="B26" s="27" t="s">
        <v>33</v>
      </c>
      <c r="C26" s="20">
        <v>9150</v>
      </c>
      <c r="D26" s="20"/>
      <c r="E26" s="20"/>
      <c r="F26" s="54"/>
      <c r="G26" s="20"/>
      <c r="H26" s="20"/>
      <c r="I26" s="20">
        <v>169</v>
      </c>
      <c r="J26" s="20"/>
      <c r="K26" s="20"/>
      <c r="L26" s="20"/>
      <c r="M26" s="20"/>
      <c r="N26" s="54"/>
      <c r="O26" s="52">
        <f t="shared" si="1"/>
        <v>9319</v>
      </c>
    </row>
    <row r="27" spans="1:15" ht="27.75" customHeight="1">
      <c r="A27" s="55" t="s">
        <v>122</v>
      </c>
      <c r="B27" s="27" t="s">
        <v>256</v>
      </c>
      <c r="C27" s="8">
        <v>13500</v>
      </c>
      <c r="D27" s="20"/>
      <c r="E27" s="20"/>
      <c r="F27" s="20"/>
      <c r="G27" s="54">
        <v>3670</v>
      </c>
      <c r="H27" s="58"/>
      <c r="I27" s="54"/>
      <c r="J27" s="20">
        <v>125471</v>
      </c>
      <c r="K27" s="54"/>
      <c r="L27" s="20"/>
      <c r="M27" s="54"/>
      <c r="N27" s="54"/>
      <c r="O27" s="52">
        <f t="shared" si="1"/>
        <v>142641</v>
      </c>
    </row>
    <row r="28" spans="1:15" ht="58.5" thickBot="1">
      <c r="A28" s="79" t="s">
        <v>260</v>
      </c>
      <c r="B28" s="80" t="s">
        <v>259</v>
      </c>
      <c r="C28" s="81">
        <v>42816</v>
      </c>
      <c r="D28" s="81"/>
      <c r="E28" s="81"/>
      <c r="F28" s="82"/>
      <c r="G28" s="81"/>
      <c r="H28" s="82"/>
      <c r="I28" s="82"/>
      <c r="J28" s="81"/>
      <c r="K28" s="82"/>
      <c r="L28" s="81"/>
      <c r="M28" s="82"/>
      <c r="N28" s="82"/>
      <c r="O28" s="52">
        <f t="shared" si="1"/>
        <v>42816</v>
      </c>
    </row>
    <row r="29" spans="1:15" ht="15.75" thickBot="1">
      <c r="A29" s="83" t="s">
        <v>34</v>
      </c>
      <c r="B29" s="45" t="s">
        <v>35</v>
      </c>
      <c r="C29" s="46">
        <f aca="true" t="shared" si="6" ref="C29:N29">SUM(C30:C30)</f>
        <v>18932448</v>
      </c>
      <c r="D29" s="46">
        <f t="shared" si="6"/>
        <v>0</v>
      </c>
      <c r="E29" s="46">
        <f t="shared" si="6"/>
        <v>0</v>
      </c>
      <c r="F29" s="47">
        <f t="shared" si="6"/>
        <v>0</v>
      </c>
      <c r="G29" s="46">
        <f t="shared" si="6"/>
        <v>0</v>
      </c>
      <c r="H29" s="46">
        <f t="shared" si="6"/>
        <v>0</v>
      </c>
      <c r="I29" s="46">
        <f t="shared" si="6"/>
        <v>0</v>
      </c>
      <c r="J29" s="46">
        <f t="shared" si="6"/>
        <v>78440</v>
      </c>
      <c r="K29" s="46">
        <f t="shared" si="6"/>
        <v>0</v>
      </c>
      <c r="L29" s="46">
        <f t="shared" si="6"/>
        <v>9998</v>
      </c>
      <c r="M29" s="46">
        <f t="shared" si="6"/>
        <v>200</v>
      </c>
      <c r="N29" s="46">
        <f t="shared" si="6"/>
        <v>0</v>
      </c>
      <c r="O29" s="48">
        <f t="shared" si="1"/>
        <v>19021086</v>
      </c>
    </row>
    <row r="30" spans="1:15" ht="15.75" customHeight="1" thickBot="1">
      <c r="A30" s="84" t="s">
        <v>173</v>
      </c>
      <c r="B30" s="85" t="s">
        <v>176</v>
      </c>
      <c r="C30" s="51">
        <f>17550580+1381868</f>
        <v>18932448</v>
      </c>
      <c r="D30" s="51"/>
      <c r="E30" s="51"/>
      <c r="F30" s="28"/>
      <c r="G30" s="51"/>
      <c r="H30" s="28"/>
      <c r="I30" s="28"/>
      <c r="J30" s="28">
        <v>78440</v>
      </c>
      <c r="K30" s="28"/>
      <c r="L30" s="28">
        <v>9998</v>
      </c>
      <c r="M30" s="28">
        <v>200</v>
      </c>
      <c r="N30" s="28"/>
      <c r="O30" s="52">
        <f t="shared" si="1"/>
        <v>19021086</v>
      </c>
    </row>
    <row r="31" spans="1:15" ht="15.75" thickBot="1">
      <c r="A31" s="83" t="s">
        <v>36</v>
      </c>
      <c r="B31" s="45" t="s">
        <v>37</v>
      </c>
      <c r="C31" s="47">
        <f>SUM(C32:C34)</f>
        <v>695773</v>
      </c>
      <c r="D31" s="47">
        <f aca="true" t="shared" si="7" ref="D31:N31">SUM(D32:D34)</f>
        <v>0</v>
      </c>
      <c r="E31" s="47">
        <f t="shared" si="7"/>
        <v>0</v>
      </c>
      <c r="F31" s="47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100000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8">
        <f t="shared" si="1"/>
        <v>795773</v>
      </c>
    </row>
    <row r="32" spans="1:15" ht="30">
      <c r="A32" s="49" t="s">
        <v>137</v>
      </c>
      <c r="B32" s="50" t="s">
        <v>177</v>
      </c>
      <c r="C32" s="28"/>
      <c r="D32" s="28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52">
        <f t="shared" si="1"/>
        <v>0</v>
      </c>
    </row>
    <row r="33" spans="1:15" ht="30">
      <c r="A33" s="55" t="s">
        <v>38</v>
      </c>
      <c r="B33" s="27" t="s">
        <v>178</v>
      </c>
      <c r="C33" s="54">
        <v>695773</v>
      </c>
      <c r="D33" s="54"/>
      <c r="E33" s="54"/>
      <c r="F33" s="54"/>
      <c r="G33" s="20"/>
      <c r="H33" s="54"/>
      <c r="I33" s="54"/>
      <c r="J33" s="54">
        <v>100000</v>
      </c>
      <c r="K33" s="54"/>
      <c r="L33" s="20"/>
      <c r="M33" s="54"/>
      <c r="N33" s="54"/>
      <c r="O33" s="52">
        <f t="shared" si="1"/>
        <v>795773</v>
      </c>
    </row>
    <row r="34" spans="1:15" ht="26.25" customHeight="1" thickBot="1">
      <c r="A34" s="68" t="s">
        <v>39</v>
      </c>
      <c r="B34" s="247" t="s">
        <v>281</v>
      </c>
      <c r="C34" s="67"/>
      <c r="D34" s="67"/>
      <c r="E34" s="67"/>
      <c r="F34" s="71"/>
      <c r="G34" s="66"/>
      <c r="H34" s="67"/>
      <c r="I34" s="70"/>
      <c r="J34" s="67"/>
      <c r="K34" s="71"/>
      <c r="L34" s="86"/>
      <c r="M34" s="87"/>
      <c r="N34" s="88"/>
      <c r="O34" s="72">
        <f t="shared" si="1"/>
        <v>0</v>
      </c>
    </row>
    <row r="35" spans="1:15" ht="15.75" thickBot="1">
      <c r="A35" s="83" t="s">
        <v>40</v>
      </c>
      <c r="B35" s="45" t="s">
        <v>41</v>
      </c>
      <c r="C35" s="47">
        <f>SUM(C36,C37,C44)</f>
        <v>311437</v>
      </c>
      <c r="D35" s="47">
        <f aca="true" t="shared" si="8" ref="D35:N35">SUM(D36,D37,D44)</f>
        <v>2176793</v>
      </c>
      <c r="E35" s="47">
        <f t="shared" si="8"/>
        <v>157677</v>
      </c>
      <c r="F35" s="47">
        <f t="shared" si="8"/>
        <v>290069</v>
      </c>
      <c r="G35" s="47">
        <f>SUM(G36,G37,G44)</f>
        <v>56200</v>
      </c>
      <c r="H35" s="47">
        <f t="shared" si="8"/>
        <v>99340</v>
      </c>
      <c r="I35" s="47">
        <f t="shared" si="8"/>
        <v>121700</v>
      </c>
      <c r="J35" s="47">
        <f t="shared" si="8"/>
        <v>673278</v>
      </c>
      <c r="K35" s="47">
        <f t="shared" si="8"/>
        <v>10000</v>
      </c>
      <c r="L35" s="47">
        <f t="shared" si="8"/>
        <v>17800</v>
      </c>
      <c r="M35" s="47">
        <f t="shared" si="8"/>
        <v>11500</v>
      </c>
      <c r="N35" s="47">
        <f t="shared" si="8"/>
        <v>43000</v>
      </c>
      <c r="O35" s="48">
        <f t="shared" si="1"/>
        <v>3968794</v>
      </c>
    </row>
    <row r="36" spans="1:15" ht="31.5">
      <c r="A36" s="89" t="s">
        <v>167</v>
      </c>
      <c r="B36" s="248" t="s">
        <v>168</v>
      </c>
      <c r="C36" s="90">
        <v>24678</v>
      </c>
      <c r="D36" s="51"/>
      <c r="E36" s="28"/>
      <c r="F36" s="28"/>
      <c r="G36" s="51"/>
      <c r="H36" s="51"/>
      <c r="I36" s="51"/>
      <c r="J36" s="51"/>
      <c r="K36" s="51"/>
      <c r="L36" s="51"/>
      <c r="M36" s="51"/>
      <c r="N36" s="28"/>
      <c r="O36" s="52">
        <f t="shared" si="1"/>
        <v>24678</v>
      </c>
    </row>
    <row r="37" spans="1:15" ht="43.5">
      <c r="A37" s="91" t="s">
        <v>42</v>
      </c>
      <c r="B37" s="92" t="s">
        <v>179</v>
      </c>
      <c r="C37" s="36">
        <f aca="true" t="shared" si="9" ref="C37:I37">SUM(C38:C43)</f>
        <v>286759</v>
      </c>
      <c r="D37" s="36">
        <f t="shared" si="9"/>
        <v>2175793</v>
      </c>
      <c r="E37" s="36">
        <f t="shared" si="9"/>
        <v>157677</v>
      </c>
      <c r="F37" s="36">
        <f t="shared" si="9"/>
        <v>290069</v>
      </c>
      <c r="G37" s="36">
        <f t="shared" si="9"/>
        <v>56200</v>
      </c>
      <c r="H37" s="93">
        <f t="shared" si="9"/>
        <v>98340</v>
      </c>
      <c r="I37" s="36">
        <f t="shared" si="9"/>
        <v>121700</v>
      </c>
      <c r="J37" s="36">
        <f>SUM(J38:J43)</f>
        <v>673278</v>
      </c>
      <c r="K37" s="36">
        <f>SUM(K38:K43)</f>
        <v>10000</v>
      </c>
      <c r="L37" s="36">
        <f>SUM(L38:L43)</f>
        <v>17800</v>
      </c>
      <c r="M37" s="36">
        <f>SUM(M38:M43)</f>
        <v>11500</v>
      </c>
      <c r="N37" s="93">
        <f>SUM(N38:N43)</f>
        <v>43000</v>
      </c>
      <c r="O37" s="52">
        <f t="shared" si="1"/>
        <v>3942116</v>
      </c>
    </row>
    <row r="38" spans="1:15" ht="30">
      <c r="A38" s="53" t="s">
        <v>325</v>
      </c>
      <c r="B38" s="27" t="s">
        <v>390</v>
      </c>
      <c r="C38" s="94"/>
      <c r="D38" s="94"/>
      <c r="E38" s="93"/>
      <c r="F38" s="95"/>
      <c r="G38" s="36"/>
      <c r="H38" s="93"/>
      <c r="I38" s="36"/>
      <c r="J38" s="58"/>
      <c r="K38" s="36"/>
      <c r="L38" s="93"/>
      <c r="M38" s="36"/>
      <c r="N38" s="93"/>
      <c r="O38" s="52">
        <f t="shared" si="1"/>
        <v>0</v>
      </c>
    </row>
    <row r="39" spans="1:15" ht="15">
      <c r="A39" s="53" t="s">
        <v>138</v>
      </c>
      <c r="B39" s="27" t="s">
        <v>139</v>
      </c>
      <c r="C39" s="56">
        <v>93435</v>
      </c>
      <c r="D39" s="56"/>
      <c r="E39" s="58"/>
      <c r="F39" s="54"/>
      <c r="G39" s="20">
        <v>46500</v>
      </c>
      <c r="H39" s="36"/>
      <c r="I39" s="20">
        <v>6900</v>
      </c>
      <c r="J39" s="20">
        <v>49248</v>
      </c>
      <c r="K39" s="36"/>
      <c r="L39" s="36"/>
      <c r="M39" s="36"/>
      <c r="N39" s="95">
        <v>4000</v>
      </c>
      <c r="O39" s="52">
        <f t="shared" si="1"/>
        <v>200083</v>
      </c>
    </row>
    <row r="40" spans="1:15" ht="15">
      <c r="A40" s="53" t="s">
        <v>347</v>
      </c>
      <c r="B40" s="27" t="s">
        <v>282</v>
      </c>
      <c r="C40" s="20"/>
      <c r="D40" s="20"/>
      <c r="E40" s="20"/>
      <c r="F40" s="54"/>
      <c r="G40" s="20"/>
      <c r="H40" s="20"/>
      <c r="I40" s="20"/>
      <c r="J40" s="20"/>
      <c r="K40" s="20"/>
      <c r="L40" s="20"/>
      <c r="M40" s="20"/>
      <c r="N40" s="54"/>
      <c r="O40" s="52">
        <f t="shared" si="1"/>
        <v>0</v>
      </c>
    </row>
    <row r="41" spans="1:15" ht="30">
      <c r="A41" s="53" t="s">
        <v>140</v>
      </c>
      <c r="B41" s="27" t="s">
        <v>348</v>
      </c>
      <c r="C41" s="20"/>
      <c r="D41" s="20"/>
      <c r="E41" s="20"/>
      <c r="F41" s="54"/>
      <c r="G41" s="20"/>
      <c r="H41" s="20">
        <v>10</v>
      </c>
      <c r="I41" s="20"/>
      <c r="J41" s="20"/>
      <c r="K41" s="20"/>
      <c r="L41" s="20"/>
      <c r="M41" s="20"/>
      <c r="N41" s="54"/>
      <c r="O41" s="52">
        <f t="shared" si="1"/>
        <v>10</v>
      </c>
    </row>
    <row r="42" spans="1:15" ht="15">
      <c r="A42" s="53" t="s">
        <v>43</v>
      </c>
      <c r="B42" s="27" t="s">
        <v>44</v>
      </c>
      <c r="C42" s="20">
        <v>172900</v>
      </c>
      <c r="D42" s="20">
        <v>37476</v>
      </c>
      <c r="E42" s="20">
        <v>53827</v>
      </c>
      <c r="F42" s="20">
        <v>16589</v>
      </c>
      <c r="G42" s="56">
        <v>4700</v>
      </c>
      <c r="H42" s="20">
        <v>10310</v>
      </c>
      <c r="I42" s="20">
        <v>5780</v>
      </c>
      <c r="J42" s="20">
        <v>19496</v>
      </c>
      <c r="K42" s="54">
        <v>2500</v>
      </c>
      <c r="L42" s="20">
        <v>4000</v>
      </c>
      <c r="M42" s="226">
        <v>3500</v>
      </c>
      <c r="N42" s="60">
        <v>6000</v>
      </c>
      <c r="O42" s="52">
        <f t="shared" si="1"/>
        <v>337078</v>
      </c>
    </row>
    <row r="43" spans="1:15" ht="30">
      <c r="A43" s="53" t="s">
        <v>45</v>
      </c>
      <c r="B43" s="27" t="s">
        <v>46</v>
      </c>
      <c r="C43" s="20">
        <v>20424</v>
      </c>
      <c r="D43" s="20">
        <v>2138317</v>
      </c>
      <c r="E43" s="20">
        <v>103850</v>
      </c>
      <c r="F43" s="20">
        <f>265180+8300</f>
        <v>273480</v>
      </c>
      <c r="G43" s="97">
        <v>5000</v>
      </c>
      <c r="H43" s="56">
        <v>88020</v>
      </c>
      <c r="I43" s="20">
        <f>108920+100</f>
        <v>109020</v>
      </c>
      <c r="J43" s="56">
        <v>604534</v>
      </c>
      <c r="K43" s="54">
        <v>7500</v>
      </c>
      <c r="L43" s="20">
        <v>13800</v>
      </c>
      <c r="M43" s="236">
        <v>8000</v>
      </c>
      <c r="N43" s="60">
        <v>33000</v>
      </c>
      <c r="O43" s="52">
        <f t="shared" si="1"/>
        <v>3404945</v>
      </c>
    </row>
    <row r="44" spans="1:15" ht="30" thickBot="1">
      <c r="A44" s="91" t="s">
        <v>266</v>
      </c>
      <c r="B44" s="92" t="s">
        <v>267</v>
      </c>
      <c r="C44" s="81"/>
      <c r="D44" s="81">
        <v>1000</v>
      </c>
      <c r="E44" s="81"/>
      <c r="F44" s="82"/>
      <c r="G44" s="98"/>
      <c r="H44" s="81">
        <v>1000</v>
      </c>
      <c r="I44" s="99"/>
      <c r="J44" s="99"/>
      <c r="K44" s="196"/>
      <c r="L44" s="81"/>
      <c r="M44" s="99"/>
      <c r="N44" s="99"/>
      <c r="O44" s="52">
        <f t="shared" si="1"/>
        <v>2000</v>
      </c>
    </row>
    <row r="45" spans="1:15" ht="21" customHeight="1" thickBot="1">
      <c r="A45" s="100"/>
      <c r="B45" s="101" t="s">
        <v>47</v>
      </c>
      <c r="C45" s="102">
        <f>SUM(C8+C19+C28+C29+C31+C35)</f>
        <v>42995259</v>
      </c>
      <c r="D45" s="102">
        <f>SUM(D8+D19+D28+D29+D31+D35)</f>
        <v>2176993</v>
      </c>
      <c r="E45" s="102">
        <f aca="true" t="shared" si="10" ref="E45:N45">SUM(E8+E19+E28+E29+E31+E35)</f>
        <v>157677</v>
      </c>
      <c r="F45" s="103">
        <f t="shared" si="10"/>
        <v>290069</v>
      </c>
      <c r="G45" s="102">
        <f t="shared" si="10"/>
        <v>171020</v>
      </c>
      <c r="H45" s="102">
        <f t="shared" si="10"/>
        <v>149800</v>
      </c>
      <c r="I45" s="102">
        <f t="shared" si="10"/>
        <v>166969</v>
      </c>
      <c r="J45" s="102">
        <f t="shared" si="10"/>
        <v>1084247</v>
      </c>
      <c r="K45" s="102">
        <f t="shared" si="10"/>
        <v>67000</v>
      </c>
      <c r="L45" s="102">
        <f t="shared" si="10"/>
        <v>76848</v>
      </c>
      <c r="M45" s="102">
        <f t="shared" si="10"/>
        <v>62280</v>
      </c>
      <c r="N45" s="102">
        <f t="shared" si="10"/>
        <v>117170</v>
      </c>
      <c r="O45" s="48">
        <f t="shared" si="1"/>
        <v>47515332</v>
      </c>
    </row>
    <row r="46" spans="1:15" ht="21.75" customHeight="1">
      <c r="A46" s="104" t="s">
        <v>349</v>
      </c>
      <c r="B46" s="105" t="s">
        <v>48</v>
      </c>
      <c r="C46" s="104">
        <f>20211488-987669</f>
        <v>19223819</v>
      </c>
      <c r="D46" s="51"/>
      <c r="E46" s="51"/>
      <c r="F46" s="28"/>
      <c r="G46" s="51"/>
      <c r="H46" s="51"/>
      <c r="I46" s="51"/>
      <c r="J46" s="51"/>
      <c r="K46" s="51"/>
      <c r="L46" s="51"/>
      <c r="M46" s="28"/>
      <c r="N46" s="29"/>
      <c r="O46" s="37">
        <f t="shared" si="1"/>
        <v>19223819</v>
      </c>
    </row>
    <row r="47" spans="1:15" ht="15">
      <c r="A47" s="106"/>
      <c r="B47" s="107" t="s">
        <v>49</v>
      </c>
      <c r="C47" s="108">
        <f aca="true" t="shared" si="11" ref="C47:N47">SUM(C45:C46)</f>
        <v>62219078</v>
      </c>
      <c r="D47" s="106">
        <f t="shared" si="11"/>
        <v>2176993</v>
      </c>
      <c r="E47" s="106">
        <f t="shared" si="11"/>
        <v>157677</v>
      </c>
      <c r="F47" s="109">
        <f t="shared" si="11"/>
        <v>290069</v>
      </c>
      <c r="G47" s="106">
        <f t="shared" si="11"/>
        <v>171020</v>
      </c>
      <c r="H47" s="106">
        <f t="shared" si="11"/>
        <v>149800</v>
      </c>
      <c r="I47" s="106">
        <f t="shared" si="11"/>
        <v>166969</v>
      </c>
      <c r="J47" s="106">
        <f t="shared" si="11"/>
        <v>1084247</v>
      </c>
      <c r="K47" s="106">
        <f t="shared" si="11"/>
        <v>67000</v>
      </c>
      <c r="L47" s="106">
        <f t="shared" si="11"/>
        <v>76848</v>
      </c>
      <c r="M47" s="109">
        <f t="shared" si="11"/>
        <v>62280</v>
      </c>
      <c r="N47" s="106">
        <f t="shared" si="11"/>
        <v>117170</v>
      </c>
      <c r="O47" s="90">
        <f t="shared" si="1"/>
        <v>66739151</v>
      </c>
    </row>
    <row r="48" spans="1:15" ht="18" customHeight="1">
      <c r="A48" s="110" t="s">
        <v>264</v>
      </c>
      <c r="B48" s="111" t="s">
        <v>490</v>
      </c>
      <c r="C48" s="113">
        <v>7128989</v>
      </c>
      <c r="D48" s="238">
        <v>1963554</v>
      </c>
      <c r="E48" s="20">
        <v>228207</v>
      </c>
      <c r="F48" s="20">
        <v>80182</v>
      </c>
      <c r="G48" s="56">
        <v>277425</v>
      </c>
      <c r="H48" s="20">
        <v>56851</v>
      </c>
      <c r="I48" s="20">
        <v>173887</v>
      </c>
      <c r="J48" s="20">
        <v>269676</v>
      </c>
      <c r="K48" s="54">
        <v>106126</v>
      </c>
      <c r="L48" s="20">
        <v>85574</v>
      </c>
      <c r="M48" s="20">
        <v>58235</v>
      </c>
      <c r="N48" s="20">
        <v>68069</v>
      </c>
      <c r="O48" s="90">
        <f t="shared" si="1"/>
        <v>10496775</v>
      </c>
    </row>
    <row r="49" spans="1:15" ht="15">
      <c r="A49" s="110" t="s">
        <v>169</v>
      </c>
      <c r="B49" s="1" t="s">
        <v>170</v>
      </c>
      <c r="C49" s="112"/>
      <c r="D49" s="20"/>
      <c r="E49" s="20"/>
      <c r="F49" s="54"/>
      <c r="G49" s="20"/>
      <c r="H49" s="20"/>
      <c r="I49" s="20"/>
      <c r="J49" s="20"/>
      <c r="K49" s="20"/>
      <c r="L49" s="20"/>
      <c r="M49" s="54"/>
      <c r="N49" s="20"/>
      <c r="O49" s="90">
        <f t="shared" si="1"/>
        <v>0</v>
      </c>
    </row>
    <row r="50" spans="1:15" ht="15">
      <c r="A50" s="106"/>
      <c r="B50" s="111" t="s">
        <v>50</v>
      </c>
      <c r="C50" s="114">
        <f aca="true" t="shared" si="12" ref="C50:O50">SUM(C47:C48)</f>
        <v>69348067</v>
      </c>
      <c r="D50" s="114">
        <f t="shared" si="12"/>
        <v>4140547</v>
      </c>
      <c r="E50" s="114">
        <f t="shared" si="12"/>
        <v>385884</v>
      </c>
      <c r="F50" s="114">
        <f t="shared" si="12"/>
        <v>370251</v>
      </c>
      <c r="G50" s="114">
        <f t="shared" si="12"/>
        <v>448445</v>
      </c>
      <c r="H50" s="114">
        <f t="shared" si="12"/>
        <v>206651</v>
      </c>
      <c r="I50" s="114">
        <f t="shared" si="12"/>
        <v>340856</v>
      </c>
      <c r="J50" s="114">
        <f t="shared" si="12"/>
        <v>1353923</v>
      </c>
      <c r="K50" s="114">
        <f t="shared" si="12"/>
        <v>173126</v>
      </c>
      <c r="L50" s="114">
        <f t="shared" si="12"/>
        <v>162422</v>
      </c>
      <c r="M50" s="114">
        <f t="shared" si="12"/>
        <v>120515</v>
      </c>
      <c r="N50" s="114">
        <f t="shared" si="12"/>
        <v>185239</v>
      </c>
      <c r="O50" s="114">
        <f t="shared" si="12"/>
        <v>77235926</v>
      </c>
    </row>
    <row r="51" spans="1:15" ht="15">
      <c r="A51" s="193"/>
      <c r="B51" s="210"/>
      <c r="C51" s="211"/>
      <c r="D51" s="193"/>
      <c r="E51" s="193"/>
      <c r="F51" s="193"/>
      <c r="G51" s="195"/>
      <c r="H51" s="195"/>
      <c r="I51" s="195"/>
      <c r="J51" s="195"/>
      <c r="K51" s="195"/>
      <c r="L51" s="195"/>
      <c r="M51" s="195"/>
      <c r="N51" s="195"/>
      <c r="O51" s="195"/>
    </row>
    <row r="52" spans="1:15" ht="15">
      <c r="A52" s="193"/>
      <c r="B52" s="210"/>
      <c r="C52" s="212"/>
      <c r="D52" s="193"/>
      <c r="E52" s="193"/>
      <c r="F52" s="193"/>
      <c r="G52" s="195"/>
      <c r="H52" s="195"/>
      <c r="I52" s="195"/>
      <c r="J52" s="195"/>
      <c r="K52" s="195"/>
      <c r="L52" s="195"/>
      <c r="M52" s="195"/>
      <c r="N52" s="195"/>
      <c r="O52" s="195"/>
    </row>
    <row r="53" spans="1:15" ht="15">
      <c r="A53" s="33"/>
      <c r="B53" s="202" t="s">
        <v>263</v>
      </c>
      <c r="C53" s="33"/>
      <c r="D53" s="33" t="s">
        <v>20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194"/>
    </row>
    <row r="54" spans="1:15" ht="15">
      <c r="A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194"/>
    </row>
    <row r="55" spans="1:15" ht="15">
      <c r="A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194"/>
    </row>
    <row r="56" ht="15">
      <c r="B56" s="225"/>
    </row>
  </sheetData>
  <sheetProtection/>
  <mergeCells count="1">
    <mergeCell ref="A5:D5"/>
  </mergeCells>
  <printOptions/>
  <pageMargins left="1.0236220472440944" right="0.35433070866141736" top="0.7874015748031497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1"/>
  <sheetViews>
    <sheetView tabSelected="1" zoomScale="98" zoomScaleNormal="98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5" sqref="T5"/>
    </sheetView>
  </sheetViews>
  <sheetFormatPr defaultColWidth="9.140625" defaultRowHeight="12.75"/>
  <cols>
    <col min="1" max="1" width="13.28125" style="24" customWidth="1"/>
    <col min="2" max="2" width="41.00390625" style="202" customWidth="1"/>
    <col min="3" max="3" width="12.7109375" style="24" customWidth="1"/>
    <col min="4" max="4" width="13.8515625" style="204" customWidth="1"/>
    <col min="5" max="5" width="10.7109375" style="24" customWidth="1"/>
    <col min="6" max="6" width="11.00390625" style="24" customWidth="1"/>
    <col min="7" max="7" width="10.8515625" style="24" bestFit="1" customWidth="1"/>
    <col min="8" max="8" width="9.7109375" style="24" customWidth="1"/>
    <col min="9" max="9" width="10.421875" style="24" customWidth="1"/>
    <col min="10" max="10" width="11.28125" style="24" customWidth="1"/>
    <col min="11" max="11" width="10.00390625" style="24" customWidth="1"/>
    <col min="12" max="12" width="9.7109375" style="24" customWidth="1"/>
    <col min="13" max="13" width="10.421875" style="24" customWidth="1"/>
    <col min="14" max="14" width="10.28125" style="24" customWidth="1"/>
    <col min="15" max="15" width="14.8515625" style="206" customWidth="1"/>
    <col min="16" max="16384" width="9.140625" style="24" customWidth="1"/>
  </cols>
  <sheetData>
    <row r="1" spans="1:15" ht="15">
      <c r="A1" s="193"/>
      <c r="B1" s="210"/>
      <c r="C1" s="33"/>
      <c r="D1" s="213"/>
      <c r="E1" s="214"/>
      <c r="F1" s="214"/>
      <c r="G1" s="33"/>
      <c r="H1" s="33"/>
      <c r="I1" s="33"/>
      <c r="J1" s="33"/>
      <c r="K1" s="33"/>
      <c r="L1" s="33"/>
      <c r="M1" s="33"/>
      <c r="O1" s="215" t="s">
        <v>51</v>
      </c>
    </row>
    <row r="2" spans="1:15" ht="15">
      <c r="A2" s="193"/>
      <c r="B2" s="210"/>
      <c r="C2" s="33"/>
      <c r="D2" s="33"/>
      <c r="E2" s="216"/>
      <c r="F2" s="216"/>
      <c r="G2" s="33"/>
      <c r="H2" s="33"/>
      <c r="I2" s="33"/>
      <c r="J2" s="33"/>
      <c r="K2" s="33"/>
      <c r="L2" s="33"/>
      <c r="M2" s="33"/>
      <c r="O2" s="215" t="s">
        <v>385</v>
      </c>
    </row>
    <row r="3" spans="1:15" ht="15">
      <c r="A3" s="217"/>
      <c r="B3" s="80"/>
      <c r="C3" s="33"/>
      <c r="D3" s="33"/>
      <c r="E3" s="216"/>
      <c r="F3" s="216"/>
      <c r="G3" s="33"/>
      <c r="H3" s="33"/>
      <c r="I3" s="33"/>
      <c r="J3" s="33"/>
      <c r="K3" s="33"/>
      <c r="L3" s="33"/>
      <c r="M3" s="33"/>
      <c r="O3" s="215" t="s">
        <v>541</v>
      </c>
    </row>
    <row r="4" spans="1:15" ht="15">
      <c r="A4" s="217"/>
      <c r="B4" s="80"/>
      <c r="C4" s="33"/>
      <c r="D4" s="33"/>
      <c r="E4" s="216"/>
      <c r="F4" s="216"/>
      <c r="G4" s="33"/>
      <c r="H4" s="33"/>
      <c r="I4" s="33"/>
      <c r="J4" s="33"/>
      <c r="K4" s="33"/>
      <c r="L4" s="33"/>
      <c r="M4" s="33"/>
      <c r="N4" s="33"/>
      <c r="O4" s="194"/>
    </row>
    <row r="5" spans="1:15" ht="39.75" customHeight="1" thickBot="1">
      <c r="A5" s="250" t="s">
        <v>491</v>
      </c>
      <c r="B5" s="250"/>
      <c r="C5" s="250"/>
      <c r="D5" s="250"/>
      <c r="E5" s="33"/>
      <c r="F5" s="33"/>
      <c r="G5" s="33"/>
      <c r="H5" s="33"/>
      <c r="I5" s="33"/>
      <c r="J5" s="33"/>
      <c r="K5" s="33"/>
      <c r="L5" s="33"/>
      <c r="M5" s="33"/>
      <c r="N5" s="33"/>
      <c r="O5" s="194"/>
    </row>
    <row r="6" spans="1:15" ht="90.75" thickBot="1">
      <c r="A6" s="115" t="s">
        <v>9</v>
      </c>
      <c r="B6" s="116" t="s">
        <v>127</v>
      </c>
      <c r="C6" s="42" t="s">
        <v>477</v>
      </c>
      <c r="D6" s="117" t="s">
        <v>478</v>
      </c>
      <c r="E6" s="42" t="s">
        <v>479</v>
      </c>
      <c r="F6" s="42" t="s">
        <v>480</v>
      </c>
      <c r="G6" s="118" t="s">
        <v>481</v>
      </c>
      <c r="H6" s="118" t="s">
        <v>482</v>
      </c>
      <c r="I6" s="118" t="s">
        <v>483</v>
      </c>
      <c r="J6" s="118" t="s">
        <v>484</v>
      </c>
      <c r="K6" s="118" t="s">
        <v>485</v>
      </c>
      <c r="L6" s="118" t="s">
        <v>486</v>
      </c>
      <c r="M6" s="118" t="s">
        <v>487</v>
      </c>
      <c r="N6" s="119" t="s">
        <v>488</v>
      </c>
      <c r="O6" s="120" t="s">
        <v>489</v>
      </c>
    </row>
    <row r="7" spans="1:15" ht="15.75" thickBot="1">
      <c r="A7" s="121" t="s">
        <v>52</v>
      </c>
      <c r="B7" s="45" t="s">
        <v>53</v>
      </c>
      <c r="C7" s="47">
        <f>C8+C9+C10+C12+C13+C17</f>
        <v>3954990</v>
      </c>
      <c r="D7" s="47">
        <f aca="true" t="shared" si="0" ref="D7:N7">D8+D9+D10+D12+D13+D17</f>
        <v>0</v>
      </c>
      <c r="E7" s="47">
        <f t="shared" si="0"/>
        <v>0</v>
      </c>
      <c r="F7" s="47">
        <f t="shared" si="0"/>
        <v>0</v>
      </c>
      <c r="G7" s="47">
        <f t="shared" si="0"/>
        <v>132455</v>
      </c>
      <c r="H7" s="47">
        <f t="shared" si="0"/>
        <v>71441</v>
      </c>
      <c r="I7" s="47">
        <f t="shared" si="0"/>
        <v>119683</v>
      </c>
      <c r="J7" s="47">
        <f t="shared" si="0"/>
        <v>159175</v>
      </c>
      <c r="K7" s="47">
        <f t="shared" si="0"/>
        <v>111380</v>
      </c>
      <c r="L7" s="47">
        <f t="shared" si="0"/>
        <v>62606</v>
      </c>
      <c r="M7" s="47">
        <f t="shared" si="0"/>
        <v>67076</v>
      </c>
      <c r="N7" s="47">
        <f t="shared" si="0"/>
        <v>101370</v>
      </c>
      <c r="O7" s="48">
        <f>SUM(C7:N7)</f>
        <v>4780176</v>
      </c>
    </row>
    <row r="8" spans="1:15" ht="29.25">
      <c r="A8" s="122" t="s">
        <v>180</v>
      </c>
      <c r="B8" s="123" t="s">
        <v>181</v>
      </c>
      <c r="C8" s="124">
        <f>2615955+5527+500</f>
        <v>2621982</v>
      </c>
      <c r="D8" s="51"/>
      <c r="E8" s="51"/>
      <c r="F8" s="29"/>
      <c r="G8" s="37">
        <v>132455</v>
      </c>
      <c r="H8" s="125">
        <v>71441</v>
      </c>
      <c r="I8" s="37">
        <v>117603</v>
      </c>
      <c r="J8" s="125">
        <v>153624</v>
      </c>
      <c r="K8" s="37">
        <v>111380</v>
      </c>
      <c r="L8" s="37">
        <v>62606</v>
      </c>
      <c r="M8" s="37">
        <v>67076</v>
      </c>
      <c r="N8" s="126">
        <v>101370</v>
      </c>
      <c r="O8" s="127">
        <f>SUM(C8:N8)</f>
        <v>3439537</v>
      </c>
    </row>
    <row r="9" spans="1:15" ht="29.25">
      <c r="A9" s="128" t="s">
        <v>350</v>
      </c>
      <c r="B9" s="123" t="s">
        <v>472</v>
      </c>
      <c r="C9" s="124">
        <v>150893</v>
      </c>
      <c r="D9" s="28"/>
      <c r="E9" s="51"/>
      <c r="F9" s="28"/>
      <c r="G9" s="90"/>
      <c r="H9" s="90"/>
      <c r="I9" s="90"/>
      <c r="J9" s="126"/>
      <c r="K9" s="124"/>
      <c r="L9" s="124"/>
      <c r="M9" s="36"/>
      <c r="N9" s="126"/>
      <c r="O9" s="52">
        <f>SUM(C9:N9)</f>
        <v>150893</v>
      </c>
    </row>
    <row r="10" spans="1:15" ht="15">
      <c r="A10" s="129" t="s">
        <v>54</v>
      </c>
      <c r="B10" s="92" t="s">
        <v>55</v>
      </c>
      <c r="C10" s="95">
        <f>SUM(C11:C11)</f>
        <v>232220</v>
      </c>
      <c r="D10" s="95">
        <f>SUM(D11:D11)</f>
        <v>0</v>
      </c>
      <c r="E10" s="36"/>
      <c r="F10" s="95"/>
      <c r="G10" s="36">
        <f aca="true" t="shared" si="1" ref="G10:N10">SUM(G11:G11)</f>
        <v>0</v>
      </c>
      <c r="H10" s="36">
        <f t="shared" si="1"/>
        <v>0</v>
      </c>
      <c r="I10" s="36">
        <f t="shared" si="1"/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130">
        <f aca="true" t="shared" si="2" ref="O10:O81">SUM(C10:N10)</f>
        <v>232220</v>
      </c>
    </row>
    <row r="11" spans="1:15" ht="30">
      <c r="A11" s="53" t="s">
        <v>56</v>
      </c>
      <c r="B11" s="27" t="s">
        <v>57</v>
      </c>
      <c r="C11" s="54">
        <v>232220</v>
      </c>
      <c r="D11" s="20"/>
      <c r="E11" s="20"/>
      <c r="F11" s="54"/>
      <c r="G11" s="20"/>
      <c r="H11" s="20"/>
      <c r="I11" s="20"/>
      <c r="J11" s="20"/>
      <c r="K11" s="20"/>
      <c r="L11" s="20"/>
      <c r="M11" s="20"/>
      <c r="N11" s="20"/>
      <c r="O11" s="130">
        <f t="shared" si="2"/>
        <v>232220</v>
      </c>
    </row>
    <row r="12" spans="1:15" ht="29.25">
      <c r="A12" s="129" t="s">
        <v>182</v>
      </c>
      <c r="B12" s="131" t="s">
        <v>183</v>
      </c>
      <c r="C12" s="54">
        <f>2034</f>
        <v>2034</v>
      </c>
      <c r="D12" s="54"/>
      <c r="E12" s="20"/>
      <c r="F12" s="54"/>
      <c r="G12" s="20"/>
      <c r="H12" s="20"/>
      <c r="I12" s="20"/>
      <c r="J12" s="54"/>
      <c r="K12" s="54"/>
      <c r="L12" s="54"/>
      <c r="M12" s="54"/>
      <c r="N12" s="54"/>
      <c r="O12" s="130">
        <f t="shared" si="2"/>
        <v>2034</v>
      </c>
    </row>
    <row r="13" spans="1:15" ht="29.25">
      <c r="A13" s="129" t="s">
        <v>58</v>
      </c>
      <c r="B13" s="131" t="s">
        <v>59</v>
      </c>
      <c r="C13" s="95">
        <f>SUM(C14:C16)</f>
        <v>895506</v>
      </c>
      <c r="D13" s="95">
        <f aca="true" t="shared" si="3" ref="D13:N13">SUM(D14:D16)</f>
        <v>0</v>
      </c>
      <c r="E13" s="95">
        <f t="shared" si="3"/>
        <v>0</v>
      </c>
      <c r="F13" s="95">
        <f t="shared" si="3"/>
        <v>0</v>
      </c>
      <c r="G13" s="36">
        <f t="shared" si="3"/>
        <v>0</v>
      </c>
      <c r="H13" s="95">
        <f t="shared" si="3"/>
        <v>0</v>
      </c>
      <c r="I13" s="95">
        <f t="shared" si="3"/>
        <v>0</v>
      </c>
      <c r="J13" s="95">
        <f t="shared" si="3"/>
        <v>0</v>
      </c>
      <c r="K13" s="95">
        <f t="shared" si="3"/>
        <v>0</v>
      </c>
      <c r="L13" s="95">
        <f t="shared" si="3"/>
        <v>0</v>
      </c>
      <c r="M13" s="95">
        <f t="shared" si="3"/>
        <v>0</v>
      </c>
      <c r="N13" s="95">
        <f t="shared" si="3"/>
        <v>0</v>
      </c>
      <c r="O13" s="130">
        <f>SUM(C13:N13)</f>
        <v>895506</v>
      </c>
    </row>
    <row r="14" spans="1:15" ht="30">
      <c r="A14" s="132" t="s">
        <v>289</v>
      </c>
      <c r="B14" s="27" t="s">
        <v>60</v>
      </c>
      <c r="C14" s="54">
        <f>600000</f>
        <v>600000</v>
      </c>
      <c r="D14" s="20"/>
      <c r="E14" s="20"/>
      <c r="F14" s="54"/>
      <c r="G14" s="20"/>
      <c r="H14" s="20"/>
      <c r="I14" s="20"/>
      <c r="J14" s="20"/>
      <c r="K14" s="20"/>
      <c r="L14" s="20"/>
      <c r="M14" s="20"/>
      <c r="N14" s="54"/>
      <c r="O14" s="130">
        <f t="shared" si="2"/>
        <v>600000</v>
      </c>
    </row>
    <row r="15" spans="1:15" ht="30">
      <c r="A15" s="132" t="s">
        <v>290</v>
      </c>
      <c r="B15" s="27" t="s">
        <v>261</v>
      </c>
      <c r="C15" s="133">
        <v>145506</v>
      </c>
      <c r="D15" s="20"/>
      <c r="E15" s="20"/>
      <c r="F15" s="54"/>
      <c r="G15" s="20"/>
      <c r="H15" s="20">
        <f>17331-17331</f>
        <v>0</v>
      </c>
      <c r="I15" s="20"/>
      <c r="J15" s="20"/>
      <c r="K15" s="20"/>
      <c r="L15" s="20"/>
      <c r="M15" s="20"/>
      <c r="N15" s="54">
        <f>12000-12000</f>
        <v>0</v>
      </c>
      <c r="O15" s="130">
        <f t="shared" si="2"/>
        <v>145506</v>
      </c>
    </row>
    <row r="16" spans="1:15" ht="45">
      <c r="A16" s="132" t="s">
        <v>291</v>
      </c>
      <c r="B16" s="69" t="s">
        <v>351</v>
      </c>
      <c r="C16" s="71">
        <v>150000</v>
      </c>
      <c r="D16" s="67"/>
      <c r="E16" s="67"/>
      <c r="F16" s="71"/>
      <c r="G16" s="67"/>
      <c r="H16" s="67"/>
      <c r="I16" s="67"/>
      <c r="J16" s="67"/>
      <c r="K16" s="67"/>
      <c r="L16" s="67"/>
      <c r="M16" s="67"/>
      <c r="N16" s="71"/>
      <c r="O16" s="130">
        <f t="shared" si="2"/>
        <v>150000</v>
      </c>
    </row>
    <row r="17" spans="1:15" s="206" customFormat="1" ht="15" thickBot="1">
      <c r="A17" s="134" t="s">
        <v>61</v>
      </c>
      <c r="B17" s="135" t="s">
        <v>184</v>
      </c>
      <c r="C17" s="137">
        <f>600000-547645</f>
        <v>52355</v>
      </c>
      <c r="D17" s="138"/>
      <c r="E17" s="138"/>
      <c r="F17" s="136"/>
      <c r="G17" s="139"/>
      <c r="H17" s="138"/>
      <c r="I17" s="138">
        <v>2080</v>
      </c>
      <c r="J17" s="138">
        <v>5551</v>
      </c>
      <c r="K17" s="138"/>
      <c r="L17" s="138"/>
      <c r="M17" s="138"/>
      <c r="N17" s="136"/>
      <c r="O17" s="140">
        <f t="shared" si="2"/>
        <v>59986</v>
      </c>
    </row>
    <row r="18" spans="1:15" ht="15.75" thickBot="1">
      <c r="A18" s="83" t="s">
        <v>62</v>
      </c>
      <c r="B18" s="45" t="s">
        <v>63</v>
      </c>
      <c r="C18" s="47">
        <f>SUM(C19:C20,C22:C23)</f>
        <v>860035</v>
      </c>
      <c r="D18" s="47">
        <f aca="true" t="shared" si="4" ref="D18:N18">SUM(D19:D20,D22:D23)</f>
        <v>0</v>
      </c>
      <c r="E18" s="47">
        <f t="shared" si="4"/>
        <v>0</v>
      </c>
      <c r="F18" s="47">
        <f t="shared" si="4"/>
        <v>0</v>
      </c>
      <c r="G18" s="47">
        <f t="shared" si="4"/>
        <v>5741</v>
      </c>
      <c r="H18" s="47">
        <f t="shared" si="4"/>
        <v>0</v>
      </c>
      <c r="I18" s="47">
        <f t="shared" si="4"/>
        <v>0</v>
      </c>
      <c r="J18" s="47">
        <f t="shared" si="4"/>
        <v>5200</v>
      </c>
      <c r="K18" s="47">
        <f t="shared" si="4"/>
        <v>0</v>
      </c>
      <c r="L18" s="47">
        <f t="shared" si="4"/>
        <v>0</v>
      </c>
      <c r="M18" s="47">
        <f t="shared" si="4"/>
        <v>0</v>
      </c>
      <c r="N18" s="47">
        <f t="shared" si="4"/>
        <v>700</v>
      </c>
      <c r="O18" s="48">
        <f t="shared" si="2"/>
        <v>871676</v>
      </c>
    </row>
    <row r="19" spans="1:15" ht="15">
      <c r="A19" s="122" t="s">
        <v>185</v>
      </c>
      <c r="B19" s="123" t="s">
        <v>18</v>
      </c>
      <c r="C19" s="141">
        <v>562875</v>
      </c>
      <c r="D19" s="51"/>
      <c r="E19" s="51"/>
      <c r="F19" s="28"/>
      <c r="G19" s="51"/>
      <c r="H19" s="51"/>
      <c r="I19" s="51"/>
      <c r="J19" s="51"/>
      <c r="K19" s="51"/>
      <c r="L19" s="51"/>
      <c r="M19" s="51"/>
      <c r="N19" s="28"/>
      <c r="O19" s="127">
        <f t="shared" si="2"/>
        <v>562875</v>
      </c>
    </row>
    <row r="20" spans="1:15" ht="29.25">
      <c r="A20" s="142" t="s">
        <v>253</v>
      </c>
      <c r="B20" s="143" t="s">
        <v>255</v>
      </c>
      <c r="C20" s="95">
        <f aca="true" t="shared" si="5" ref="C20:N20">SUM(C21:C21)</f>
        <v>204130</v>
      </c>
      <c r="D20" s="95">
        <f t="shared" si="5"/>
        <v>0</v>
      </c>
      <c r="E20" s="95">
        <f t="shared" si="5"/>
        <v>0</v>
      </c>
      <c r="F20" s="95">
        <f t="shared" si="5"/>
        <v>0</v>
      </c>
      <c r="G20" s="95">
        <f t="shared" si="5"/>
        <v>0</v>
      </c>
      <c r="H20" s="95">
        <f t="shared" si="5"/>
        <v>0</v>
      </c>
      <c r="I20" s="95">
        <f t="shared" si="5"/>
        <v>0</v>
      </c>
      <c r="J20" s="95">
        <f t="shared" si="5"/>
        <v>0</v>
      </c>
      <c r="K20" s="95">
        <f t="shared" si="5"/>
        <v>0</v>
      </c>
      <c r="L20" s="95">
        <f t="shared" si="5"/>
        <v>0</v>
      </c>
      <c r="M20" s="95">
        <f t="shared" si="5"/>
        <v>0</v>
      </c>
      <c r="N20" s="144">
        <f t="shared" si="5"/>
        <v>0</v>
      </c>
      <c r="O20" s="52">
        <f>SUM(C20:N20)</f>
        <v>204130</v>
      </c>
    </row>
    <row r="21" spans="1:15" ht="30">
      <c r="A21" s="145" t="s">
        <v>292</v>
      </c>
      <c r="B21" s="146" t="s">
        <v>466</v>
      </c>
      <c r="C21" s="147">
        <v>204130</v>
      </c>
      <c r="D21" s="81"/>
      <c r="E21" s="81"/>
      <c r="F21" s="82"/>
      <c r="G21" s="81"/>
      <c r="H21" s="81"/>
      <c r="I21" s="81"/>
      <c r="J21" s="81"/>
      <c r="K21" s="81"/>
      <c r="L21" s="81"/>
      <c r="M21" s="81"/>
      <c r="N21" s="82"/>
      <c r="O21" s="130">
        <f t="shared" si="2"/>
        <v>204130</v>
      </c>
    </row>
    <row r="22" spans="1:15" s="206" customFormat="1" ht="28.5">
      <c r="A22" s="148" t="s">
        <v>64</v>
      </c>
      <c r="B22" s="92" t="s">
        <v>186</v>
      </c>
      <c r="C22" s="36">
        <v>33030</v>
      </c>
      <c r="D22" s="36"/>
      <c r="E22" s="36"/>
      <c r="F22" s="95"/>
      <c r="G22" s="36">
        <v>5741</v>
      </c>
      <c r="H22" s="36"/>
      <c r="I22" s="36"/>
      <c r="J22" s="36">
        <v>5200</v>
      </c>
      <c r="K22" s="36"/>
      <c r="L22" s="36"/>
      <c r="M22" s="36"/>
      <c r="N22" s="144">
        <v>700</v>
      </c>
      <c r="O22" s="130">
        <f t="shared" si="2"/>
        <v>44671</v>
      </c>
    </row>
    <row r="23" spans="1:15" s="206" customFormat="1" ht="15" thickBot="1">
      <c r="A23" s="149" t="s">
        <v>326</v>
      </c>
      <c r="B23" s="150" t="s">
        <v>327</v>
      </c>
      <c r="C23" s="151">
        <v>60000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30">
        <f t="shared" si="2"/>
        <v>60000</v>
      </c>
    </row>
    <row r="24" spans="1:15" ht="15.75" thickBot="1">
      <c r="A24" s="83" t="s">
        <v>1</v>
      </c>
      <c r="B24" s="45" t="s">
        <v>65</v>
      </c>
      <c r="C24" s="47">
        <f aca="true" t="shared" si="6" ref="C24:N24">SUM(C25,C31,C34:C36,C63,C65)</f>
        <v>9803837</v>
      </c>
      <c r="D24" s="47">
        <f t="shared" si="6"/>
        <v>119966</v>
      </c>
      <c r="E24" s="47">
        <f t="shared" si="6"/>
        <v>0</v>
      </c>
      <c r="F24" s="47">
        <f t="shared" si="6"/>
        <v>0</v>
      </c>
      <c r="G24" s="47">
        <f t="shared" si="6"/>
        <v>157991</v>
      </c>
      <c r="H24" s="47">
        <f t="shared" si="6"/>
        <v>50964</v>
      </c>
      <c r="I24" s="47">
        <f t="shared" si="6"/>
        <v>62694</v>
      </c>
      <c r="J24" s="47">
        <f t="shared" si="6"/>
        <v>261871</v>
      </c>
      <c r="K24" s="47">
        <f t="shared" si="6"/>
        <v>38178</v>
      </c>
      <c r="L24" s="47">
        <f t="shared" si="6"/>
        <v>50439</v>
      </c>
      <c r="M24" s="47">
        <f t="shared" si="6"/>
        <v>32238</v>
      </c>
      <c r="N24" s="47">
        <f t="shared" si="6"/>
        <v>47860</v>
      </c>
      <c r="O24" s="48">
        <f>SUM(C24:N24)</f>
        <v>10626038</v>
      </c>
    </row>
    <row r="25" spans="1:15" ht="15">
      <c r="A25" s="122" t="s">
        <v>66</v>
      </c>
      <c r="B25" s="90" t="s">
        <v>67</v>
      </c>
      <c r="C25" s="124">
        <f aca="true" t="shared" si="7" ref="C25:N25">SUM(C26:C30)</f>
        <v>260420</v>
      </c>
      <c r="D25" s="124">
        <f t="shared" si="7"/>
        <v>0</v>
      </c>
      <c r="E25" s="124">
        <f t="shared" si="7"/>
        <v>0</v>
      </c>
      <c r="F25" s="124">
        <f t="shared" si="7"/>
        <v>0</v>
      </c>
      <c r="G25" s="90">
        <f t="shared" si="7"/>
        <v>0</v>
      </c>
      <c r="H25" s="124">
        <f t="shared" si="7"/>
        <v>0</v>
      </c>
      <c r="I25" s="124">
        <f t="shared" si="7"/>
        <v>0</v>
      </c>
      <c r="J25" s="124">
        <f t="shared" si="7"/>
        <v>0</v>
      </c>
      <c r="K25" s="124">
        <f t="shared" si="7"/>
        <v>0</v>
      </c>
      <c r="L25" s="124">
        <f t="shared" si="7"/>
        <v>0</v>
      </c>
      <c r="M25" s="124">
        <f t="shared" si="7"/>
        <v>0</v>
      </c>
      <c r="N25" s="124">
        <f t="shared" si="7"/>
        <v>0</v>
      </c>
      <c r="O25" s="127">
        <f aca="true" t="shared" si="8" ref="O25:O33">SUM(C25:N25)</f>
        <v>260420</v>
      </c>
    </row>
    <row r="26" spans="1:15" ht="15">
      <c r="A26" s="152" t="s">
        <v>187</v>
      </c>
      <c r="B26" s="51" t="s">
        <v>188</v>
      </c>
      <c r="C26" s="141">
        <f>10000+11000</f>
        <v>21000</v>
      </c>
      <c r="D26" s="51"/>
      <c r="E26" s="51"/>
      <c r="F26" s="28"/>
      <c r="G26" s="51"/>
      <c r="H26" s="51"/>
      <c r="I26" s="51"/>
      <c r="J26" s="51"/>
      <c r="K26" s="51"/>
      <c r="L26" s="51"/>
      <c r="M26" s="51"/>
      <c r="N26" s="28"/>
      <c r="O26" s="153">
        <f t="shared" si="8"/>
        <v>21000</v>
      </c>
    </row>
    <row r="27" spans="1:15" ht="30">
      <c r="A27" s="152" t="s">
        <v>293</v>
      </c>
      <c r="B27" s="38" t="s">
        <v>352</v>
      </c>
      <c r="C27" s="28">
        <f>80694+6803</f>
        <v>87497</v>
      </c>
      <c r="D27" s="51"/>
      <c r="E27" s="51"/>
      <c r="F27" s="28"/>
      <c r="G27" s="51"/>
      <c r="H27" s="51"/>
      <c r="I27" s="51"/>
      <c r="J27" s="51"/>
      <c r="K27" s="51"/>
      <c r="L27" s="51"/>
      <c r="M27" s="51"/>
      <c r="N27" s="28"/>
      <c r="O27" s="154">
        <f t="shared" si="8"/>
        <v>87497</v>
      </c>
    </row>
    <row r="28" spans="1:15" ht="15">
      <c r="A28" s="152" t="s">
        <v>294</v>
      </c>
      <c r="B28" s="155" t="s">
        <v>280</v>
      </c>
      <c r="C28" s="141">
        <f>5000</f>
        <v>5000</v>
      </c>
      <c r="D28" s="51"/>
      <c r="E28" s="51"/>
      <c r="F28" s="28"/>
      <c r="G28" s="51"/>
      <c r="H28" s="51"/>
      <c r="I28" s="51"/>
      <c r="J28" s="51"/>
      <c r="K28" s="51"/>
      <c r="L28" s="51"/>
      <c r="M28" s="51"/>
      <c r="N28" s="28"/>
      <c r="O28" s="154">
        <f t="shared" si="8"/>
        <v>5000</v>
      </c>
    </row>
    <row r="29" spans="1:15" ht="30">
      <c r="A29" s="13" t="s">
        <v>268</v>
      </c>
      <c r="B29" s="4" t="s">
        <v>319</v>
      </c>
      <c r="C29" s="28">
        <v>19200</v>
      </c>
      <c r="D29" s="51"/>
      <c r="E29" s="51"/>
      <c r="F29" s="28"/>
      <c r="G29" s="51"/>
      <c r="H29" s="51"/>
      <c r="I29" s="51"/>
      <c r="J29" s="51"/>
      <c r="K29" s="51"/>
      <c r="L29" s="51"/>
      <c r="M29" s="51"/>
      <c r="N29" s="28"/>
      <c r="O29" s="154">
        <f t="shared" si="8"/>
        <v>19200</v>
      </c>
    </row>
    <row r="30" spans="1:15" ht="15">
      <c r="A30" s="13" t="s">
        <v>328</v>
      </c>
      <c r="B30" s="4" t="s">
        <v>329</v>
      </c>
      <c r="C30" s="28">
        <f>110000+17723</f>
        <v>127723</v>
      </c>
      <c r="D30" s="51"/>
      <c r="E30" s="51"/>
      <c r="F30" s="28"/>
      <c r="G30" s="51"/>
      <c r="H30" s="51"/>
      <c r="I30" s="51"/>
      <c r="J30" s="51"/>
      <c r="K30" s="51"/>
      <c r="L30" s="51"/>
      <c r="M30" s="51"/>
      <c r="N30" s="28"/>
      <c r="O30" s="154">
        <f t="shared" si="8"/>
        <v>127723</v>
      </c>
    </row>
    <row r="31" spans="1:15" ht="15">
      <c r="A31" s="129" t="s">
        <v>68</v>
      </c>
      <c r="B31" s="92" t="s">
        <v>189</v>
      </c>
      <c r="C31" s="95">
        <f aca="true" t="shared" si="9" ref="C31:N31">SUM(C32:C33)</f>
        <v>536668</v>
      </c>
      <c r="D31" s="95">
        <f t="shared" si="9"/>
        <v>0</v>
      </c>
      <c r="E31" s="95">
        <f t="shared" si="9"/>
        <v>0</v>
      </c>
      <c r="F31" s="95">
        <f t="shared" si="9"/>
        <v>0</v>
      </c>
      <c r="G31" s="95">
        <f t="shared" si="9"/>
        <v>0</v>
      </c>
      <c r="H31" s="95">
        <f t="shared" si="9"/>
        <v>0</v>
      </c>
      <c r="I31" s="95">
        <f t="shared" si="9"/>
        <v>0</v>
      </c>
      <c r="J31" s="95">
        <f t="shared" si="9"/>
        <v>0</v>
      </c>
      <c r="K31" s="95">
        <f t="shared" si="9"/>
        <v>0</v>
      </c>
      <c r="L31" s="95">
        <f t="shared" si="9"/>
        <v>0</v>
      </c>
      <c r="M31" s="95">
        <f t="shared" si="9"/>
        <v>0</v>
      </c>
      <c r="N31" s="95">
        <f t="shared" si="9"/>
        <v>0</v>
      </c>
      <c r="O31" s="130">
        <f>SUM(C31:N31)</f>
        <v>536668</v>
      </c>
    </row>
    <row r="32" spans="1:15" ht="47.25">
      <c r="A32" s="152" t="s">
        <v>353</v>
      </c>
      <c r="B32" s="14" t="s">
        <v>354</v>
      </c>
      <c r="C32" s="28">
        <v>24000</v>
      </c>
      <c r="D32" s="36"/>
      <c r="E32" s="36"/>
      <c r="F32" s="95"/>
      <c r="G32" s="20"/>
      <c r="H32" s="20"/>
      <c r="I32" s="20"/>
      <c r="J32" s="20"/>
      <c r="K32" s="20"/>
      <c r="L32" s="20"/>
      <c r="M32" s="20"/>
      <c r="N32" s="54"/>
      <c r="O32" s="154">
        <f t="shared" si="8"/>
        <v>24000</v>
      </c>
    </row>
    <row r="33" spans="1:15" ht="75">
      <c r="A33" s="152" t="s">
        <v>269</v>
      </c>
      <c r="B33" s="156" t="s">
        <v>391</v>
      </c>
      <c r="C33" s="28">
        <v>512668</v>
      </c>
      <c r="D33" s="36"/>
      <c r="E33" s="36"/>
      <c r="F33" s="95"/>
      <c r="G33" s="20"/>
      <c r="H33" s="20"/>
      <c r="I33" s="20"/>
      <c r="J33" s="20"/>
      <c r="K33" s="20"/>
      <c r="L33" s="20"/>
      <c r="M33" s="20"/>
      <c r="N33" s="54"/>
      <c r="O33" s="154">
        <f t="shared" si="8"/>
        <v>512668</v>
      </c>
    </row>
    <row r="34" spans="1:15" ht="15">
      <c r="A34" s="122" t="s">
        <v>69</v>
      </c>
      <c r="B34" s="123" t="s">
        <v>70</v>
      </c>
      <c r="C34" s="124"/>
      <c r="D34" s="20"/>
      <c r="E34" s="20"/>
      <c r="F34" s="54"/>
      <c r="G34" s="20"/>
      <c r="H34" s="20"/>
      <c r="I34" s="20"/>
      <c r="J34" s="20"/>
      <c r="K34" s="20">
        <v>400</v>
      </c>
      <c r="L34" s="20"/>
      <c r="M34" s="20"/>
      <c r="N34" s="54"/>
      <c r="O34" s="130">
        <f t="shared" si="2"/>
        <v>400</v>
      </c>
    </row>
    <row r="35" spans="1:15" ht="15">
      <c r="A35" s="122" t="s">
        <v>295</v>
      </c>
      <c r="B35" s="123" t="s">
        <v>141</v>
      </c>
      <c r="C35" s="124">
        <v>266745</v>
      </c>
      <c r="D35" s="54"/>
      <c r="E35" s="20"/>
      <c r="F35" s="54"/>
      <c r="G35" s="20"/>
      <c r="H35" s="20"/>
      <c r="I35" s="20"/>
      <c r="J35" s="20"/>
      <c r="K35" s="54"/>
      <c r="L35" s="54"/>
      <c r="M35" s="54"/>
      <c r="N35" s="54"/>
      <c r="O35" s="130">
        <f t="shared" si="2"/>
        <v>266745</v>
      </c>
    </row>
    <row r="36" spans="1:15" ht="15">
      <c r="A36" s="129" t="s">
        <v>71</v>
      </c>
      <c r="B36" s="92" t="s">
        <v>72</v>
      </c>
      <c r="C36" s="95">
        <f aca="true" t="shared" si="10" ref="C36:N36">SUM(C37:C62)</f>
        <v>8629453</v>
      </c>
      <c r="D36" s="95">
        <f t="shared" si="10"/>
        <v>119966</v>
      </c>
      <c r="E36" s="95">
        <f t="shared" si="10"/>
        <v>0</v>
      </c>
      <c r="F36" s="95">
        <f t="shared" si="10"/>
        <v>0</v>
      </c>
      <c r="G36" s="95">
        <f t="shared" si="10"/>
        <v>157991</v>
      </c>
      <c r="H36" s="95">
        <f t="shared" si="10"/>
        <v>50964</v>
      </c>
      <c r="I36" s="95">
        <f t="shared" si="10"/>
        <v>62694</v>
      </c>
      <c r="J36" s="95">
        <f t="shared" si="10"/>
        <v>261871</v>
      </c>
      <c r="K36" s="95">
        <f t="shared" si="10"/>
        <v>37778</v>
      </c>
      <c r="L36" s="95">
        <f t="shared" si="10"/>
        <v>50439</v>
      </c>
      <c r="M36" s="95">
        <f t="shared" si="10"/>
        <v>32238</v>
      </c>
      <c r="N36" s="95">
        <f t="shared" si="10"/>
        <v>47860</v>
      </c>
      <c r="O36" s="130">
        <f>SUM(C36:N36)</f>
        <v>9451254</v>
      </c>
    </row>
    <row r="37" spans="1:15" ht="15">
      <c r="A37" s="157" t="s">
        <v>318</v>
      </c>
      <c r="B37" s="27" t="s">
        <v>73</v>
      </c>
      <c r="C37" s="54">
        <f>1507312-22040</f>
        <v>1485272</v>
      </c>
      <c r="D37" s="20"/>
      <c r="E37" s="20"/>
      <c r="F37" s="54"/>
      <c r="G37" s="20"/>
      <c r="H37" s="20">
        <f>35247-799</f>
        <v>34448</v>
      </c>
      <c r="I37" s="20">
        <v>49836</v>
      </c>
      <c r="J37" s="20">
        <v>69724</v>
      </c>
      <c r="K37" s="20">
        <v>37778</v>
      </c>
      <c r="L37" s="20">
        <v>50439</v>
      </c>
      <c r="M37" s="226">
        <v>32238</v>
      </c>
      <c r="N37" s="54"/>
      <c r="O37" s="130">
        <f t="shared" si="2"/>
        <v>1759735</v>
      </c>
    </row>
    <row r="38" spans="1:15" ht="15">
      <c r="A38" s="53" t="s">
        <v>190</v>
      </c>
      <c r="B38" s="158" t="s">
        <v>191</v>
      </c>
      <c r="C38" s="54"/>
      <c r="D38" s="20">
        <v>119966</v>
      </c>
      <c r="E38" s="20"/>
      <c r="F38" s="54"/>
      <c r="G38" s="20">
        <v>157991</v>
      </c>
      <c r="H38" s="20">
        <v>16516</v>
      </c>
      <c r="I38" s="20">
        <v>12858</v>
      </c>
      <c r="J38" s="20">
        <v>55102</v>
      </c>
      <c r="K38" s="20"/>
      <c r="L38" s="20"/>
      <c r="M38" s="20"/>
      <c r="N38" s="60">
        <v>47860</v>
      </c>
      <c r="O38" s="130">
        <f t="shared" si="2"/>
        <v>410293</v>
      </c>
    </row>
    <row r="39" spans="1:15" ht="15">
      <c r="A39" s="53" t="s">
        <v>448</v>
      </c>
      <c r="B39" s="158" t="s">
        <v>449</v>
      </c>
      <c r="C39" s="54">
        <v>319720</v>
      </c>
      <c r="D39" s="20"/>
      <c r="E39" s="20"/>
      <c r="F39" s="54"/>
      <c r="G39" s="20"/>
      <c r="H39" s="20"/>
      <c r="I39" s="20"/>
      <c r="J39" s="54"/>
      <c r="K39" s="54"/>
      <c r="L39" s="54"/>
      <c r="M39" s="54"/>
      <c r="N39" s="58"/>
      <c r="O39" s="130">
        <f t="shared" si="2"/>
        <v>319720</v>
      </c>
    </row>
    <row r="40" spans="1:15" ht="15.75">
      <c r="A40" s="12" t="s">
        <v>355</v>
      </c>
      <c r="B40" s="15" t="s">
        <v>356</v>
      </c>
      <c r="C40" s="54">
        <f>187586+40819</f>
        <v>228405</v>
      </c>
      <c r="D40" s="20"/>
      <c r="E40" s="20"/>
      <c r="F40" s="54"/>
      <c r="G40" s="20"/>
      <c r="H40" s="20"/>
      <c r="I40" s="20"/>
      <c r="J40" s="54"/>
      <c r="K40" s="54"/>
      <c r="L40" s="54"/>
      <c r="M40" s="54"/>
      <c r="N40" s="54"/>
      <c r="O40" s="130">
        <f t="shared" si="2"/>
        <v>228405</v>
      </c>
    </row>
    <row r="41" spans="1:15" ht="63">
      <c r="A41" s="12" t="s">
        <v>392</v>
      </c>
      <c r="B41" s="15" t="s">
        <v>467</v>
      </c>
      <c r="C41" s="54">
        <f>918513+228086</f>
        <v>1146599</v>
      </c>
      <c r="D41" s="20"/>
      <c r="E41" s="20"/>
      <c r="F41" s="54"/>
      <c r="G41" s="20"/>
      <c r="H41" s="20"/>
      <c r="I41" s="20"/>
      <c r="J41" s="54"/>
      <c r="K41" s="54"/>
      <c r="L41" s="54"/>
      <c r="M41" s="54"/>
      <c r="N41" s="54"/>
      <c r="O41" s="130">
        <f t="shared" si="2"/>
        <v>1146599</v>
      </c>
    </row>
    <row r="42" spans="1:15" ht="15.75">
      <c r="A42" s="12" t="s">
        <v>393</v>
      </c>
      <c r="B42" s="15" t="s">
        <v>460</v>
      </c>
      <c r="C42" s="54">
        <v>46402</v>
      </c>
      <c r="D42" s="20"/>
      <c r="E42" s="20"/>
      <c r="F42" s="54"/>
      <c r="G42" s="20"/>
      <c r="H42" s="20"/>
      <c r="I42" s="20"/>
      <c r="J42" s="54"/>
      <c r="K42" s="54"/>
      <c r="L42" s="54"/>
      <c r="M42" s="54"/>
      <c r="N42" s="54"/>
      <c r="O42" s="130">
        <f t="shared" si="2"/>
        <v>46402</v>
      </c>
    </row>
    <row r="43" spans="1:15" ht="47.25">
      <c r="A43" s="12" t="s">
        <v>394</v>
      </c>
      <c r="B43" s="14" t="s">
        <v>492</v>
      </c>
      <c r="C43" s="54">
        <f>771427+13500</f>
        <v>784927</v>
      </c>
      <c r="D43" s="20"/>
      <c r="E43" s="20"/>
      <c r="F43" s="54"/>
      <c r="G43" s="20"/>
      <c r="H43" s="20"/>
      <c r="I43" s="20"/>
      <c r="J43" s="54"/>
      <c r="K43" s="54"/>
      <c r="L43" s="54"/>
      <c r="M43" s="54"/>
      <c r="N43" s="54"/>
      <c r="O43" s="130">
        <f t="shared" si="2"/>
        <v>784927</v>
      </c>
    </row>
    <row r="44" spans="1:15" ht="15">
      <c r="A44" s="12" t="s">
        <v>450</v>
      </c>
      <c r="B44" s="232" t="s">
        <v>451</v>
      </c>
      <c r="C44" s="54">
        <f>460792+19740</f>
        <v>480532</v>
      </c>
      <c r="D44" s="20"/>
      <c r="E44" s="20"/>
      <c r="F44" s="54"/>
      <c r="G44" s="20"/>
      <c r="H44" s="20"/>
      <c r="I44" s="20"/>
      <c r="J44" s="54"/>
      <c r="K44" s="54"/>
      <c r="L44" s="54"/>
      <c r="M44" s="54"/>
      <c r="N44" s="54"/>
      <c r="O44" s="130">
        <f t="shared" si="2"/>
        <v>480532</v>
      </c>
    </row>
    <row r="45" spans="1:15" ht="15">
      <c r="A45" s="12" t="s">
        <v>452</v>
      </c>
      <c r="B45" s="232" t="s">
        <v>455</v>
      </c>
      <c r="C45" s="54">
        <v>85400</v>
      </c>
      <c r="D45" s="20"/>
      <c r="E45" s="20"/>
      <c r="F45" s="54"/>
      <c r="G45" s="20"/>
      <c r="H45" s="20"/>
      <c r="I45" s="20"/>
      <c r="J45" s="54"/>
      <c r="K45" s="54"/>
      <c r="L45" s="54"/>
      <c r="M45" s="54"/>
      <c r="N45" s="54"/>
      <c r="O45" s="130">
        <f t="shared" si="2"/>
        <v>85400</v>
      </c>
    </row>
    <row r="46" spans="1:15" ht="15">
      <c r="A46" s="12" t="s">
        <v>453</v>
      </c>
      <c r="B46" s="232" t="s">
        <v>456</v>
      </c>
      <c r="C46" s="54">
        <v>29354</v>
      </c>
      <c r="D46" s="20"/>
      <c r="E46" s="20"/>
      <c r="F46" s="54"/>
      <c r="G46" s="20"/>
      <c r="H46" s="20"/>
      <c r="I46" s="20"/>
      <c r="J46" s="54"/>
      <c r="K46" s="54"/>
      <c r="L46" s="54"/>
      <c r="M46" s="54"/>
      <c r="N46" s="54"/>
      <c r="O46" s="130">
        <f t="shared" si="2"/>
        <v>29354</v>
      </c>
    </row>
    <row r="47" spans="1:15" ht="45">
      <c r="A47" s="12" t="s">
        <v>454</v>
      </c>
      <c r="B47" s="232" t="s">
        <v>457</v>
      </c>
      <c r="C47" s="54">
        <v>619622</v>
      </c>
      <c r="D47" s="20"/>
      <c r="E47" s="20"/>
      <c r="F47" s="54"/>
      <c r="G47" s="20"/>
      <c r="H47" s="20"/>
      <c r="I47" s="20"/>
      <c r="J47" s="54"/>
      <c r="K47" s="54"/>
      <c r="L47" s="54"/>
      <c r="M47" s="54"/>
      <c r="N47" s="54"/>
      <c r="O47" s="130">
        <f t="shared" si="2"/>
        <v>619622</v>
      </c>
    </row>
    <row r="48" spans="1:15" ht="15">
      <c r="A48" s="12" t="s">
        <v>458</v>
      </c>
      <c r="B48" s="21" t="s">
        <v>459</v>
      </c>
      <c r="C48" s="54">
        <v>2613</v>
      </c>
      <c r="D48" s="20"/>
      <c r="E48" s="20"/>
      <c r="F48" s="54"/>
      <c r="G48" s="20"/>
      <c r="H48" s="20"/>
      <c r="I48" s="20"/>
      <c r="J48" s="54"/>
      <c r="K48" s="54"/>
      <c r="L48" s="54"/>
      <c r="M48" s="54"/>
      <c r="N48" s="54"/>
      <c r="O48" s="130">
        <f t="shared" si="2"/>
        <v>2613</v>
      </c>
    </row>
    <row r="49" spans="1:15" ht="15.75">
      <c r="A49" s="12" t="s">
        <v>464</v>
      </c>
      <c r="B49" s="228" t="s">
        <v>465</v>
      </c>
      <c r="C49" s="54"/>
      <c r="D49" s="20"/>
      <c r="E49" s="20"/>
      <c r="F49" s="54"/>
      <c r="G49" s="20"/>
      <c r="H49" s="20"/>
      <c r="I49" s="20"/>
      <c r="J49" s="54">
        <v>137045</v>
      </c>
      <c r="K49" s="54"/>
      <c r="L49" s="54"/>
      <c r="M49" s="54"/>
      <c r="N49" s="54"/>
      <c r="O49" s="130">
        <f>SUM(C49:N49)</f>
        <v>137045</v>
      </c>
    </row>
    <row r="50" spans="1:15" ht="45">
      <c r="A50" s="12" t="s">
        <v>493</v>
      </c>
      <c r="B50" s="6" t="s">
        <v>494</v>
      </c>
      <c r="C50" s="54">
        <f>345535-35856</f>
        <v>309679</v>
      </c>
      <c r="D50" s="20"/>
      <c r="E50" s="20"/>
      <c r="F50" s="54"/>
      <c r="G50" s="20"/>
      <c r="H50" s="20"/>
      <c r="I50" s="20"/>
      <c r="J50" s="54"/>
      <c r="K50" s="54"/>
      <c r="L50" s="54"/>
      <c r="M50" s="54"/>
      <c r="N50" s="54"/>
      <c r="O50" s="130">
        <f aca="true" t="shared" si="11" ref="O50:O62">SUM(C50:N50)</f>
        <v>309679</v>
      </c>
    </row>
    <row r="51" spans="1:15" ht="15">
      <c r="A51" s="12" t="s">
        <v>495</v>
      </c>
      <c r="B51" s="6" t="s">
        <v>496</v>
      </c>
      <c r="C51" s="54">
        <f>1343000-607041</f>
        <v>735959</v>
      </c>
      <c r="D51" s="20"/>
      <c r="E51" s="20"/>
      <c r="F51" s="54"/>
      <c r="G51" s="20"/>
      <c r="H51" s="20"/>
      <c r="I51" s="20"/>
      <c r="J51" s="54"/>
      <c r="K51" s="54"/>
      <c r="L51" s="54"/>
      <c r="M51" s="54"/>
      <c r="N51" s="54"/>
      <c r="O51" s="130">
        <f t="shared" si="11"/>
        <v>735959</v>
      </c>
    </row>
    <row r="52" spans="1:15" ht="30">
      <c r="A52" s="12" t="s">
        <v>497</v>
      </c>
      <c r="B52" s="6" t="s">
        <v>498</v>
      </c>
      <c r="C52" s="54">
        <f>276409-66043</f>
        <v>210366</v>
      </c>
      <c r="D52" s="20"/>
      <c r="E52" s="20"/>
      <c r="F52" s="54"/>
      <c r="G52" s="20"/>
      <c r="H52" s="20"/>
      <c r="I52" s="20"/>
      <c r="J52" s="54"/>
      <c r="K52" s="54"/>
      <c r="L52" s="54"/>
      <c r="M52" s="54"/>
      <c r="N52" s="54"/>
      <c r="O52" s="130">
        <f t="shared" si="11"/>
        <v>210366</v>
      </c>
    </row>
    <row r="53" spans="1:15" ht="30">
      <c r="A53" s="12" t="s">
        <v>499</v>
      </c>
      <c r="B53" s="6" t="s">
        <v>500</v>
      </c>
      <c r="C53" s="54">
        <f>471547-50622</f>
        <v>420925</v>
      </c>
      <c r="D53" s="20"/>
      <c r="E53" s="20"/>
      <c r="F53" s="54"/>
      <c r="G53" s="20"/>
      <c r="H53" s="20"/>
      <c r="I53" s="20"/>
      <c r="J53" s="54"/>
      <c r="K53" s="54"/>
      <c r="L53" s="54"/>
      <c r="M53" s="54"/>
      <c r="N53" s="54"/>
      <c r="O53" s="130">
        <f t="shared" si="11"/>
        <v>420925</v>
      </c>
    </row>
    <row r="54" spans="1:15" ht="15">
      <c r="A54" s="12" t="s">
        <v>501</v>
      </c>
      <c r="B54" s="6" t="s">
        <v>502</v>
      </c>
      <c r="C54" s="54">
        <f>968200-810319</f>
        <v>157881</v>
      </c>
      <c r="D54" s="20"/>
      <c r="E54" s="20"/>
      <c r="F54" s="54"/>
      <c r="G54" s="20"/>
      <c r="H54" s="20"/>
      <c r="I54" s="20"/>
      <c r="J54" s="54"/>
      <c r="K54" s="54"/>
      <c r="L54" s="54"/>
      <c r="M54" s="54"/>
      <c r="N54" s="54"/>
      <c r="O54" s="130">
        <f t="shared" si="11"/>
        <v>157881</v>
      </c>
    </row>
    <row r="55" spans="1:15" ht="15">
      <c r="A55" s="12" t="s">
        <v>503</v>
      </c>
      <c r="B55" s="6" t="s">
        <v>504</v>
      </c>
      <c r="C55" s="54">
        <f>159140-53198</f>
        <v>105942</v>
      </c>
      <c r="D55" s="20"/>
      <c r="E55" s="20"/>
      <c r="F55" s="54"/>
      <c r="G55" s="20"/>
      <c r="H55" s="20"/>
      <c r="I55" s="20"/>
      <c r="J55" s="54"/>
      <c r="K55" s="54"/>
      <c r="L55" s="54"/>
      <c r="M55" s="54"/>
      <c r="N55" s="54"/>
      <c r="O55" s="130">
        <f t="shared" si="11"/>
        <v>105942</v>
      </c>
    </row>
    <row r="56" spans="1:15" ht="15">
      <c r="A56" s="12" t="s">
        <v>505</v>
      </c>
      <c r="B56" s="6" t="s">
        <v>506</v>
      </c>
      <c r="C56" s="54">
        <f>214800-73617</f>
        <v>141183</v>
      </c>
      <c r="D56" s="20"/>
      <c r="E56" s="20"/>
      <c r="F56" s="54"/>
      <c r="G56" s="20"/>
      <c r="H56" s="20"/>
      <c r="I56" s="20"/>
      <c r="J56" s="54"/>
      <c r="K56" s="54"/>
      <c r="L56" s="54"/>
      <c r="M56" s="54"/>
      <c r="N56" s="54"/>
      <c r="O56" s="130">
        <f t="shared" si="11"/>
        <v>141183</v>
      </c>
    </row>
    <row r="57" spans="1:15" ht="15">
      <c r="A57" s="12" t="s">
        <v>507</v>
      </c>
      <c r="B57" s="6" t="s">
        <v>508</v>
      </c>
      <c r="C57" s="54">
        <f>221430-2954</f>
        <v>218476</v>
      </c>
      <c r="D57" s="20"/>
      <c r="E57" s="20"/>
      <c r="F57" s="54"/>
      <c r="G57" s="20"/>
      <c r="H57" s="20"/>
      <c r="I57" s="20"/>
      <c r="J57" s="54"/>
      <c r="K57" s="54"/>
      <c r="L57" s="54"/>
      <c r="M57" s="54"/>
      <c r="N57" s="54"/>
      <c r="O57" s="130">
        <f t="shared" si="11"/>
        <v>218476</v>
      </c>
    </row>
    <row r="58" spans="1:15" ht="15">
      <c r="A58" s="12" t="s">
        <v>509</v>
      </c>
      <c r="B58" s="6" t="s">
        <v>510</v>
      </c>
      <c r="C58" s="54">
        <f>245800+141240</f>
        <v>387040</v>
      </c>
      <c r="D58" s="20"/>
      <c r="E58" s="20"/>
      <c r="F58" s="54"/>
      <c r="G58" s="20"/>
      <c r="H58" s="20"/>
      <c r="I58" s="20"/>
      <c r="J58" s="54"/>
      <c r="K58" s="54"/>
      <c r="L58" s="54"/>
      <c r="M58" s="54"/>
      <c r="N58" s="54"/>
      <c r="O58" s="130">
        <f t="shared" si="11"/>
        <v>387040</v>
      </c>
    </row>
    <row r="59" spans="1:15" ht="30">
      <c r="A59" s="12" t="s">
        <v>511</v>
      </c>
      <c r="B59" s="6" t="s">
        <v>512</v>
      </c>
      <c r="C59" s="54">
        <f>146000+31727</f>
        <v>177727</v>
      </c>
      <c r="D59" s="20"/>
      <c r="E59" s="20"/>
      <c r="F59" s="54"/>
      <c r="G59" s="20"/>
      <c r="H59" s="20"/>
      <c r="I59" s="20"/>
      <c r="J59" s="54"/>
      <c r="K59" s="54"/>
      <c r="L59" s="54"/>
      <c r="M59" s="54"/>
      <c r="N59" s="54"/>
      <c r="O59" s="130">
        <f t="shared" si="11"/>
        <v>177727</v>
      </c>
    </row>
    <row r="60" spans="1:15" ht="15">
      <c r="A60" s="12" t="s">
        <v>513</v>
      </c>
      <c r="B60" s="6" t="s">
        <v>514</v>
      </c>
      <c r="C60" s="54">
        <v>120000</v>
      </c>
      <c r="D60" s="20"/>
      <c r="E60" s="20"/>
      <c r="F60" s="54"/>
      <c r="G60" s="20"/>
      <c r="H60" s="20"/>
      <c r="I60" s="20"/>
      <c r="J60" s="54"/>
      <c r="K60" s="54"/>
      <c r="L60" s="54"/>
      <c r="M60" s="54"/>
      <c r="N60" s="54"/>
      <c r="O60" s="130">
        <f t="shared" si="11"/>
        <v>120000</v>
      </c>
    </row>
    <row r="61" spans="1:15" ht="15">
      <c r="A61" s="12" t="s">
        <v>515</v>
      </c>
      <c r="B61" s="6" t="s">
        <v>516</v>
      </c>
      <c r="C61" s="54">
        <f>134000+7393</f>
        <v>141393</v>
      </c>
      <c r="D61" s="20"/>
      <c r="E61" s="20"/>
      <c r="F61" s="54"/>
      <c r="G61" s="20"/>
      <c r="H61" s="20"/>
      <c r="I61" s="20"/>
      <c r="J61" s="54"/>
      <c r="K61" s="54"/>
      <c r="L61" s="54"/>
      <c r="M61" s="54"/>
      <c r="N61" s="54"/>
      <c r="O61" s="130">
        <f t="shared" si="11"/>
        <v>141393</v>
      </c>
    </row>
    <row r="62" spans="1:15" ht="30" customHeight="1">
      <c r="A62" s="12" t="s">
        <v>532</v>
      </c>
      <c r="B62" s="6" t="s">
        <v>536</v>
      </c>
      <c r="C62" s="54">
        <v>274036</v>
      </c>
      <c r="D62" s="20"/>
      <c r="E62" s="20"/>
      <c r="F62" s="54"/>
      <c r="G62" s="20"/>
      <c r="H62" s="20"/>
      <c r="I62" s="20"/>
      <c r="J62" s="54"/>
      <c r="K62" s="54"/>
      <c r="L62" s="54"/>
      <c r="M62" s="54"/>
      <c r="N62" s="54"/>
      <c r="O62" s="130">
        <f t="shared" si="11"/>
        <v>274036</v>
      </c>
    </row>
    <row r="63" spans="1:15" ht="15">
      <c r="A63" s="129" t="s">
        <v>74</v>
      </c>
      <c r="B63" s="159" t="s">
        <v>75</v>
      </c>
      <c r="C63" s="95">
        <f>SUM(C64:C64)</f>
        <v>0</v>
      </c>
      <c r="D63" s="20"/>
      <c r="E63" s="20"/>
      <c r="F63" s="54"/>
      <c r="G63" s="36">
        <f aca="true" t="shared" si="12" ref="G63:N63">SUM(G64:G64)</f>
        <v>0</v>
      </c>
      <c r="H63" s="36">
        <f t="shared" si="12"/>
        <v>0</v>
      </c>
      <c r="I63" s="36">
        <f>SUM(I64:I64)</f>
        <v>0</v>
      </c>
      <c r="J63" s="95">
        <f t="shared" si="12"/>
        <v>0</v>
      </c>
      <c r="K63" s="95">
        <f t="shared" si="12"/>
        <v>0</v>
      </c>
      <c r="L63" s="95">
        <f t="shared" si="12"/>
        <v>0</v>
      </c>
      <c r="M63" s="95">
        <f t="shared" si="12"/>
        <v>0</v>
      </c>
      <c r="N63" s="95">
        <f t="shared" si="12"/>
        <v>0</v>
      </c>
      <c r="O63" s="130">
        <f t="shared" si="2"/>
        <v>0</v>
      </c>
    </row>
    <row r="64" spans="1:15" ht="15">
      <c r="A64" s="53" t="s">
        <v>192</v>
      </c>
      <c r="B64" s="27" t="s">
        <v>257</v>
      </c>
      <c r="C64" s="54"/>
      <c r="D64" s="20"/>
      <c r="E64" s="20"/>
      <c r="F64" s="54"/>
      <c r="G64" s="20"/>
      <c r="H64" s="20"/>
      <c r="I64" s="20"/>
      <c r="J64" s="20"/>
      <c r="K64" s="20"/>
      <c r="L64" s="20"/>
      <c r="M64" s="20"/>
      <c r="N64" s="54"/>
      <c r="O64" s="130">
        <f t="shared" si="2"/>
        <v>0</v>
      </c>
    </row>
    <row r="65" spans="1:15" ht="15.75" thickBot="1">
      <c r="A65" s="160" t="s">
        <v>341</v>
      </c>
      <c r="B65" s="150" t="s">
        <v>336</v>
      </c>
      <c r="C65" s="82">
        <f>108980+971+600</f>
        <v>110551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130">
        <f t="shared" si="2"/>
        <v>110551</v>
      </c>
    </row>
    <row r="66" spans="1:15" ht="15.75" thickBot="1">
      <c r="A66" s="83" t="s">
        <v>16</v>
      </c>
      <c r="B66" s="161" t="s">
        <v>76</v>
      </c>
      <c r="C66" s="47">
        <f aca="true" t="shared" si="13" ref="C66:N66">C67+C70+C73+C78</f>
        <v>6007487</v>
      </c>
      <c r="D66" s="47">
        <f t="shared" si="13"/>
        <v>448487</v>
      </c>
      <c r="E66" s="47">
        <f t="shared" si="13"/>
        <v>0</v>
      </c>
      <c r="F66" s="47">
        <f t="shared" si="13"/>
        <v>92651</v>
      </c>
      <c r="G66" s="47">
        <f t="shared" si="13"/>
        <v>10600</v>
      </c>
      <c r="H66" s="47">
        <f t="shared" si="13"/>
        <v>36948</v>
      </c>
      <c r="I66" s="47">
        <f t="shared" si="13"/>
        <v>39450</v>
      </c>
      <c r="J66" s="47">
        <f t="shared" si="13"/>
        <v>133771</v>
      </c>
      <c r="K66" s="47">
        <f t="shared" si="13"/>
        <v>28120</v>
      </c>
      <c r="L66" s="47">
        <f t="shared" si="13"/>
        <v>12654</v>
      </c>
      <c r="M66" s="47">
        <f t="shared" si="13"/>
        <v>0</v>
      </c>
      <c r="N66" s="47">
        <f t="shared" si="13"/>
        <v>24254</v>
      </c>
      <c r="O66" s="48">
        <f t="shared" si="2"/>
        <v>6834422</v>
      </c>
    </row>
    <row r="67" spans="1:15" ht="15">
      <c r="A67" s="122" t="s">
        <v>77</v>
      </c>
      <c r="B67" s="159" t="s">
        <v>78</v>
      </c>
      <c r="C67" s="124">
        <f>SUM(C68:C69)</f>
        <v>27173</v>
      </c>
      <c r="D67" s="124">
        <f aca="true" t="shared" si="14" ref="D67:N67">SUM(D68:D69)</f>
        <v>86836</v>
      </c>
      <c r="E67" s="124">
        <f t="shared" si="14"/>
        <v>0</v>
      </c>
      <c r="F67" s="124">
        <f t="shared" si="14"/>
        <v>44969</v>
      </c>
      <c r="G67" s="124">
        <f t="shared" si="14"/>
        <v>1600</v>
      </c>
      <c r="H67" s="124">
        <f t="shared" si="14"/>
        <v>16105</v>
      </c>
      <c r="I67" s="124">
        <f t="shared" si="14"/>
        <v>29735</v>
      </c>
      <c r="J67" s="124">
        <f t="shared" si="14"/>
        <v>42957</v>
      </c>
      <c r="K67" s="124">
        <f t="shared" si="14"/>
        <v>20306</v>
      </c>
      <c r="L67" s="124">
        <f t="shared" si="14"/>
        <v>6500</v>
      </c>
      <c r="M67" s="124">
        <f t="shared" si="14"/>
        <v>0</v>
      </c>
      <c r="N67" s="124">
        <f t="shared" si="14"/>
        <v>12000</v>
      </c>
      <c r="O67" s="162">
        <f t="shared" si="2"/>
        <v>288181</v>
      </c>
    </row>
    <row r="68" spans="1:15" ht="30">
      <c r="A68" s="53" t="s">
        <v>193</v>
      </c>
      <c r="B68" s="27" t="s">
        <v>357</v>
      </c>
      <c r="C68" s="133">
        <v>7813</v>
      </c>
      <c r="D68" s="20">
        <v>86836</v>
      </c>
      <c r="E68" s="20"/>
      <c r="F68" s="20">
        <f>36669+8300</f>
        <v>44969</v>
      </c>
      <c r="G68" s="54">
        <v>1600</v>
      </c>
      <c r="H68" s="20">
        <v>16105</v>
      </c>
      <c r="I68" s="20">
        <v>29735</v>
      </c>
      <c r="J68" s="20">
        <f>35867+7090</f>
        <v>42957</v>
      </c>
      <c r="K68" s="20">
        <v>20306</v>
      </c>
      <c r="L68" s="20">
        <v>6500</v>
      </c>
      <c r="M68" s="20"/>
      <c r="N68" s="60">
        <v>12000</v>
      </c>
      <c r="O68" s="130">
        <f>SUM(C68:N68)</f>
        <v>268821</v>
      </c>
    </row>
    <row r="69" spans="1:15" ht="15">
      <c r="A69" s="53" t="s">
        <v>270</v>
      </c>
      <c r="B69" s="146" t="s">
        <v>395</v>
      </c>
      <c r="C69" s="54">
        <v>19360</v>
      </c>
      <c r="D69" s="54"/>
      <c r="E69" s="54"/>
      <c r="F69" s="20"/>
      <c r="G69" s="56"/>
      <c r="H69" s="20"/>
      <c r="I69" s="20"/>
      <c r="J69" s="54"/>
      <c r="K69" s="20"/>
      <c r="L69" s="54"/>
      <c r="M69" s="20"/>
      <c r="N69" s="58"/>
      <c r="O69" s="130">
        <f>SUM(C69:N69)</f>
        <v>19360</v>
      </c>
    </row>
    <row r="70" spans="1:15" ht="15">
      <c r="A70" s="129" t="s">
        <v>2</v>
      </c>
      <c r="B70" s="131" t="s">
        <v>79</v>
      </c>
      <c r="C70" s="95">
        <f>SUM(C71:C72)</f>
        <v>96248</v>
      </c>
      <c r="D70" s="95">
        <f>SUM(D71:D72)</f>
        <v>361651</v>
      </c>
      <c r="E70" s="95">
        <f>SUM(E71:E72)</f>
        <v>0</v>
      </c>
      <c r="F70" s="36">
        <f>SUM(F71:F72)</f>
        <v>47682</v>
      </c>
      <c r="G70" s="94">
        <f aca="true" t="shared" si="15" ref="G70:N70">SUM(G71:G72)</f>
        <v>0</v>
      </c>
      <c r="H70" s="36">
        <f t="shared" si="15"/>
        <v>20843</v>
      </c>
      <c r="I70" s="36">
        <f t="shared" si="15"/>
        <v>9715</v>
      </c>
      <c r="J70" s="95">
        <f t="shared" si="15"/>
        <v>90814</v>
      </c>
      <c r="K70" s="95">
        <f t="shared" si="15"/>
        <v>7814</v>
      </c>
      <c r="L70" s="95">
        <f t="shared" si="15"/>
        <v>5463</v>
      </c>
      <c r="M70" s="36">
        <f t="shared" si="15"/>
        <v>0</v>
      </c>
      <c r="N70" s="93">
        <f t="shared" si="15"/>
        <v>12254</v>
      </c>
      <c r="O70" s="130">
        <f t="shared" si="2"/>
        <v>652484</v>
      </c>
    </row>
    <row r="71" spans="1:15" ht="15">
      <c r="A71" s="53" t="s">
        <v>194</v>
      </c>
      <c r="B71" s="38" t="s">
        <v>396</v>
      </c>
      <c r="C71" s="54">
        <v>96248</v>
      </c>
      <c r="D71" s="20">
        <v>28808</v>
      </c>
      <c r="E71" s="20"/>
      <c r="F71" s="20"/>
      <c r="G71" s="56"/>
      <c r="H71" s="20"/>
      <c r="I71" s="20"/>
      <c r="J71" s="20"/>
      <c r="K71" s="20"/>
      <c r="L71" s="20"/>
      <c r="M71" s="20"/>
      <c r="N71" s="58"/>
      <c r="O71" s="130">
        <f t="shared" si="2"/>
        <v>125056</v>
      </c>
    </row>
    <row r="72" spans="1:15" ht="15">
      <c r="A72" s="163" t="s">
        <v>195</v>
      </c>
      <c r="B72" s="38" t="s">
        <v>397</v>
      </c>
      <c r="C72" s="54"/>
      <c r="D72" s="239">
        <v>332843</v>
      </c>
      <c r="E72" s="20"/>
      <c r="F72" s="54">
        <v>47682</v>
      </c>
      <c r="G72" s="20"/>
      <c r="H72" s="20">
        <v>20843</v>
      </c>
      <c r="I72" s="20">
        <v>9715</v>
      </c>
      <c r="J72" s="20">
        <v>90814</v>
      </c>
      <c r="K72" s="20">
        <v>7814</v>
      </c>
      <c r="L72" s="20">
        <v>5463</v>
      </c>
      <c r="M72" s="20"/>
      <c r="N72" s="60">
        <v>12254</v>
      </c>
      <c r="O72" s="130">
        <f>SUM(C72:N72)</f>
        <v>527428</v>
      </c>
    </row>
    <row r="73" spans="1:15" s="206" customFormat="1" ht="28.5">
      <c r="A73" s="129" t="s">
        <v>196</v>
      </c>
      <c r="B73" s="159" t="s">
        <v>197</v>
      </c>
      <c r="C73" s="124">
        <f>SUM(C74:C77)</f>
        <v>5841629</v>
      </c>
      <c r="D73" s="124">
        <f aca="true" t="shared" si="16" ref="D73:N73">SUM(D74:D77)</f>
        <v>0</v>
      </c>
      <c r="E73" s="124">
        <f t="shared" si="16"/>
        <v>0</v>
      </c>
      <c r="F73" s="124">
        <f t="shared" si="16"/>
        <v>0</v>
      </c>
      <c r="G73" s="124">
        <f t="shared" si="16"/>
        <v>0</v>
      </c>
      <c r="H73" s="124">
        <f t="shared" si="16"/>
        <v>0</v>
      </c>
      <c r="I73" s="124">
        <f t="shared" si="16"/>
        <v>0</v>
      </c>
      <c r="J73" s="124">
        <f t="shared" si="16"/>
        <v>0</v>
      </c>
      <c r="K73" s="124">
        <f t="shared" si="16"/>
        <v>0</v>
      </c>
      <c r="L73" s="124">
        <f t="shared" si="16"/>
        <v>691</v>
      </c>
      <c r="M73" s="124">
        <f t="shared" si="16"/>
        <v>0</v>
      </c>
      <c r="N73" s="124">
        <f t="shared" si="16"/>
        <v>0</v>
      </c>
      <c r="O73" s="130">
        <f t="shared" si="2"/>
        <v>5842320</v>
      </c>
    </row>
    <row r="74" spans="1:15" s="206" customFormat="1" ht="15">
      <c r="A74" s="53" t="s">
        <v>296</v>
      </c>
      <c r="B74" s="164" t="s">
        <v>345</v>
      </c>
      <c r="C74" s="141">
        <f>64753+7183</f>
        <v>71936</v>
      </c>
      <c r="D74" s="124"/>
      <c r="E74" s="124"/>
      <c r="F74" s="124"/>
      <c r="G74" s="90"/>
      <c r="H74" s="124"/>
      <c r="I74" s="124"/>
      <c r="J74" s="124"/>
      <c r="K74" s="124"/>
      <c r="L74" s="124">
        <v>691</v>
      </c>
      <c r="M74" s="124"/>
      <c r="N74" s="124"/>
      <c r="O74" s="130">
        <f aca="true" t="shared" si="17" ref="O74:O79">SUM(C74:N74)</f>
        <v>72627</v>
      </c>
    </row>
    <row r="75" spans="1:15" s="206" customFormat="1" ht="31.5">
      <c r="A75" s="12" t="s">
        <v>358</v>
      </c>
      <c r="B75" s="14" t="s">
        <v>359</v>
      </c>
      <c r="C75" s="28">
        <f>4355129+48399</f>
        <v>4403528</v>
      </c>
      <c r="D75" s="124"/>
      <c r="E75" s="124"/>
      <c r="F75" s="124"/>
      <c r="G75" s="90"/>
      <c r="H75" s="124"/>
      <c r="I75" s="124"/>
      <c r="J75" s="124"/>
      <c r="K75" s="124"/>
      <c r="L75" s="124"/>
      <c r="M75" s="124"/>
      <c r="N75" s="124"/>
      <c r="O75" s="130">
        <f t="shared" si="17"/>
        <v>4403528</v>
      </c>
    </row>
    <row r="76" spans="1:15" s="206" customFormat="1" ht="60">
      <c r="A76" s="12" t="s">
        <v>517</v>
      </c>
      <c r="B76" s="6" t="s">
        <v>518</v>
      </c>
      <c r="C76" s="28">
        <f>848717+6920</f>
        <v>855637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30">
        <f t="shared" si="17"/>
        <v>855637</v>
      </c>
    </row>
    <row r="77" spans="1:15" s="206" customFormat="1" ht="45">
      <c r="A77" s="12" t="s">
        <v>519</v>
      </c>
      <c r="B77" s="164" t="s">
        <v>520</v>
      </c>
      <c r="C77" s="28">
        <v>510528</v>
      </c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30">
        <f t="shared" si="17"/>
        <v>510528</v>
      </c>
    </row>
    <row r="78" spans="1:15" ht="29.25">
      <c r="A78" s="122" t="s">
        <v>198</v>
      </c>
      <c r="B78" s="159" t="s">
        <v>199</v>
      </c>
      <c r="C78" s="124">
        <f>C79</f>
        <v>42437</v>
      </c>
      <c r="D78" s="124">
        <f aca="true" t="shared" si="18" ref="D78:N78">D79</f>
        <v>0</v>
      </c>
      <c r="E78" s="124">
        <f t="shared" si="18"/>
        <v>0</v>
      </c>
      <c r="F78" s="124">
        <f t="shared" si="18"/>
        <v>0</v>
      </c>
      <c r="G78" s="124">
        <f t="shared" si="18"/>
        <v>9000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124">
        <f t="shared" si="18"/>
        <v>0</v>
      </c>
      <c r="L78" s="124">
        <f t="shared" si="18"/>
        <v>0</v>
      </c>
      <c r="M78" s="124">
        <f t="shared" si="18"/>
        <v>0</v>
      </c>
      <c r="N78" s="124">
        <f t="shared" si="18"/>
        <v>0</v>
      </c>
      <c r="O78" s="130">
        <f t="shared" si="17"/>
        <v>51437</v>
      </c>
    </row>
    <row r="79" spans="1:15" s="206" customFormat="1" ht="30" customHeight="1" thickBot="1">
      <c r="A79" s="166" t="s">
        <v>297</v>
      </c>
      <c r="B79" s="158" t="s">
        <v>398</v>
      </c>
      <c r="C79" s="28">
        <f>34752+7685</f>
        <v>42437</v>
      </c>
      <c r="D79" s="124"/>
      <c r="E79" s="124"/>
      <c r="F79" s="124"/>
      <c r="G79" s="51">
        <v>9000</v>
      </c>
      <c r="H79" s="124"/>
      <c r="I79" s="124"/>
      <c r="J79" s="124"/>
      <c r="K79" s="124"/>
      <c r="L79" s="124"/>
      <c r="M79" s="124"/>
      <c r="N79" s="124"/>
      <c r="O79" s="130">
        <f t="shared" si="17"/>
        <v>51437</v>
      </c>
    </row>
    <row r="80" spans="1:15" ht="30" thickBot="1">
      <c r="A80" s="83" t="s">
        <v>3</v>
      </c>
      <c r="B80" s="161" t="s">
        <v>80</v>
      </c>
      <c r="C80" s="47">
        <f aca="true" t="shared" si="19" ref="C80:N80">SUM(C81:C86)</f>
        <v>3106307</v>
      </c>
      <c r="D80" s="47">
        <f t="shared" si="19"/>
        <v>2341530</v>
      </c>
      <c r="E80" s="47">
        <f t="shared" si="19"/>
        <v>0</v>
      </c>
      <c r="F80" s="47">
        <f t="shared" si="19"/>
        <v>303491</v>
      </c>
      <c r="G80" s="47">
        <f t="shared" si="19"/>
        <v>94920</v>
      </c>
      <c r="H80" s="47">
        <f t="shared" si="19"/>
        <v>177075</v>
      </c>
      <c r="I80" s="47">
        <f t="shared" si="19"/>
        <v>190350</v>
      </c>
      <c r="J80" s="47">
        <f t="shared" si="19"/>
        <v>344401</v>
      </c>
      <c r="K80" s="47">
        <f t="shared" si="19"/>
        <v>118208</v>
      </c>
      <c r="L80" s="47">
        <f t="shared" si="19"/>
        <v>105535</v>
      </c>
      <c r="M80" s="47">
        <f t="shared" si="19"/>
        <v>118263</v>
      </c>
      <c r="N80" s="47">
        <f t="shared" si="19"/>
        <v>108798</v>
      </c>
      <c r="O80" s="48">
        <f t="shared" si="2"/>
        <v>7008878</v>
      </c>
    </row>
    <row r="81" spans="1:15" ht="15">
      <c r="A81" s="129" t="s">
        <v>298</v>
      </c>
      <c r="B81" s="131" t="s">
        <v>200</v>
      </c>
      <c r="C81" s="133">
        <v>76020</v>
      </c>
      <c r="D81" s="36"/>
      <c r="E81" s="20"/>
      <c r="F81" s="54"/>
      <c r="G81" s="20"/>
      <c r="H81" s="20"/>
      <c r="I81" s="20"/>
      <c r="J81" s="20"/>
      <c r="K81" s="20"/>
      <c r="L81" s="20"/>
      <c r="M81" s="20"/>
      <c r="N81" s="54"/>
      <c r="O81" s="130">
        <f t="shared" si="2"/>
        <v>76020</v>
      </c>
    </row>
    <row r="82" spans="1:15" ht="15">
      <c r="A82" s="129" t="s">
        <v>81</v>
      </c>
      <c r="B82" s="131" t="s">
        <v>82</v>
      </c>
      <c r="C82" s="54"/>
      <c r="D82" s="20">
        <v>249745</v>
      </c>
      <c r="E82" s="20"/>
      <c r="F82" s="20">
        <v>25138</v>
      </c>
      <c r="G82" s="56"/>
      <c r="H82" s="20"/>
      <c r="I82" s="20"/>
      <c r="J82" s="20"/>
      <c r="K82" s="20"/>
      <c r="L82" s="20"/>
      <c r="M82" s="20"/>
      <c r="N82" s="54"/>
      <c r="O82" s="130">
        <f aca="true" t="shared" si="20" ref="O82:O90">SUM(C82:N82)</f>
        <v>274883</v>
      </c>
    </row>
    <row r="83" spans="1:15" ht="15">
      <c r="A83" s="129" t="s">
        <v>360</v>
      </c>
      <c r="B83" s="38" t="s">
        <v>361</v>
      </c>
      <c r="C83" s="54"/>
      <c r="D83" s="36"/>
      <c r="E83" s="20"/>
      <c r="F83" s="20"/>
      <c r="G83" s="56"/>
      <c r="H83" s="20">
        <v>24203</v>
      </c>
      <c r="I83" s="20">
        <v>14207</v>
      </c>
      <c r="J83" s="20">
        <v>40977</v>
      </c>
      <c r="K83" s="20">
        <f>10429</f>
        <v>10429</v>
      </c>
      <c r="L83" s="20">
        <v>4670</v>
      </c>
      <c r="M83" s="226">
        <v>94215</v>
      </c>
      <c r="N83" s="60">
        <v>4630</v>
      </c>
      <c r="O83" s="130">
        <f t="shared" si="20"/>
        <v>193331</v>
      </c>
    </row>
    <row r="84" spans="1:15" ht="30">
      <c r="A84" s="129" t="s">
        <v>533</v>
      </c>
      <c r="B84" s="38" t="s">
        <v>537</v>
      </c>
      <c r="C84" s="54">
        <v>100000</v>
      </c>
      <c r="D84" s="36"/>
      <c r="E84" s="20"/>
      <c r="F84" s="20"/>
      <c r="G84" s="58"/>
      <c r="H84" s="20"/>
      <c r="I84" s="20"/>
      <c r="J84" s="20"/>
      <c r="K84" s="20"/>
      <c r="L84" s="20"/>
      <c r="M84" s="226"/>
      <c r="N84" s="58"/>
      <c r="O84" s="130">
        <f t="shared" si="20"/>
        <v>100000</v>
      </c>
    </row>
    <row r="85" spans="1:15" ht="15">
      <c r="A85" s="129" t="s">
        <v>83</v>
      </c>
      <c r="B85" s="131" t="s">
        <v>84</v>
      </c>
      <c r="C85" s="95">
        <v>705089</v>
      </c>
      <c r="D85" s="36"/>
      <c r="E85" s="20"/>
      <c r="F85" s="20"/>
      <c r="G85" s="54">
        <v>6400</v>
      </c>
      <c r="H85" s="20">
        <v>1200</v>
      </c>
      <c r="I85" s="20"/>
      <c r="J85" s="20">
        <v>25225</v>
      </c>
      <c r="K85" s="20"/>
      <c r="L85" s="20"/>
      <c r="M85" s="226">
        <v>1700</v>
      </c>
      <c r="N85" s="54"/>
      <c r="O85" s="130">
        <f t="shared" si="20"/>
        <v>739614</v>
      </c>
    </row>
    <row r="86" spans="1:15" ht="43.5">
      <c r="A86" s="129" t="s">
        <v>85</v>
      </c>
      <c r="B86" s="131" t="s">
        <v>86</v>
      </c>
      <c r="C86" s="95">
        <f aca="true" t="shared" si="21" ref="C86:N86">SUM(C87:C102)</f>
        <v>2225198</v>
      </c>
      <c r="D86" s="95">
        <f t="shared" si="21"/>
        <v>2091785</v>
      </c>
      <c r="E86" s="95">
        <f t="shared" si="21"/>
        <v>0</v>
      </c>
      <c r="F86" s="95">
        <f t="shared" si="21"/>
        <v>278353</v>
      </c>
      <c r="G86" s="95">
        <f t="shared" si="21"/>
        <v>88520</v>
      </c>
      <c r="H86" s="95">
        <f t="shared" si="21"/>
        <v>151672</v>
      </c>
      <c r="I86" s="95">
        <f t="shared" si="21"/>
        <v>176143</v>
      </c>
      <c r="J86" s="95">
        <f t="shared" si="21"/>
        <v>278199</v>
      </c>
      <c r="K86" s="95">
        <f t="shared" si="21"/>
        <v>107779</v>
      </c>
      <c r="L86" s="95">
        <f t="shared" si="21"/>
        <v>100865</v>
      </c>
      <c r="M86" s="95">
        <f t="shared" si="21"/>
        <v>22348</v>
      </c>
      <c r="N86" s="95">
        <f t="shared" si="21"/>
        <v>104168</v>
      </c>
      <c r="O86" s="130">
        <f t="shared" si="20"/>
        <v>5625030</v>
      </c>
    </row>
    <row r="87" spans="1:15" ht="15">
      <c r="A87" s="53" t="s">
        <v>201</v>
      </c>
      <c r="B87" s="38" t="s">
        <v>399</v>
      </c>
      <c r="C87" s="54">
        <v>62884</v>
      </c>
      <c r="D87" s="20">
        <f>2071266+2972</f>
        <v>2074238</v>
      </c>
      <c r="E87" s="20"/>
      <c r="F87" s="20">
        <v>104720</v>
      </c>
      <c r="G87" s="97"/>
      <c r="H87" s="51">
        <v>20700</v>
      </c>
      <c r="I87" s="20">
        <v>13530</v>
      </c>
      <c r="J87" s="20"/>
      <c r="K87" s="20"/>
      <c r="L87" s="20"/>
      <c r="M87" s="20"/>
      <c r="N87" s="20"/>
      <c r="O87" s="130">
        <f t="shared" si="20"/>
        <v>2276072</v>
      </c>
    </row>
    <row r="88" spans="1:15" ht="15">
      <c r="A88" s="53" t="s">
        <v>202</v>
      </c>
      <c r="B88" s="38" t="s">
        <v>400</v>
      </c>
      <c r="C88" s="54"/>
      <c r="D88" s="20"/>
      <c r="E88" s="20"/>
      <c r="F88" s="20">
        <v>173633</v>
      </c>
      <c r="G88" s="97"/>
      <c r="H88" s="20">
        <v>77223</v>
      </c>
      <c r="I88" s="20">
        <v>87935</v>
      </c>
      <c r="J88" s="20">
        <v>147400</v>
      </c>
      <c r="K88" s="20"/>
      <c r="L88" s="20"/>
      <c r="M88" s="20"/>
      <c r="N88" s="54"/>
      <c r="O88" s="130">
        <f t="shared" si="20"/>
        <v>486191</v>
      </c>
    </row>
    <row r="89" spans="1:15" ht="15">
      <c r="A89" s="53" t="s">
        <v>203</v>
      </c>
      <c r="B89" s="38" t="s">
        <v>401</v>
      </c>
      <c r="C89" s="133">
        <v>10456</v>
      </c>
      <c r="D89" s="20">
        <v>17547</v>
      </c>
      <c r="E89" s="20"/>
      <c r="F89" s="54"/>
      <c r="G89" s="54">
        <v>10586</v>
      </c>
      <c r="H89" s="20"/>
      <c r="I89" s="20"/>
      <c r="J89" s="20">
        <v>15689</v>
      </c>
      <c r="K89" s="20">
        <v>6469</v>
      </c>
      <c r="L89" s="20"/>
      <c r="M89" s="20">
        <v>5050</v>
      </c>
      <c r="N89" s="54"/>
      <c r="O89" s="130">
        <f t="shared" si="20"/>
        <v>65797</v>
      </c>
    </row>
    <row r="90" spans="1:15" ht="30">
      <c r="A90" s="53" t="s">
        <v>204</v>
      </c>
      <c r="B90" s="38" t="s">
        <v>299</v>
      </c>
      <c r="C90" s="28">
        <v>43600</v>
      </c>
      <c r="D90" s="20"/>
      <c r="E90" s="20"/>
      <c r="F90" s="54"/>
      <c r="G90" s="20"/>
      <c r="H90" s="20"/>
      <c r="I90" s="20"/>
      <c r="J90" s="20"/>
      <c r="K90" s="20"/>
      <c r="L90" s="20"/>
      <c r="M90" s="20"/>
      <c r="N90" s="54"/>
      <c r="O90" s="130">
        <f t="shared" si="20"/>
        <v>43600</v>
      </c>
    </row>
    <row r="91" spans="1:15" ht="30">
      <c r="A91" s="53" t="s">
        <v>205</v>
      </c>
      <c r="B91" s="158" t="s">
        <v>402</v>
      </c>
      <c r="C91" s="28">
        <v>65000</v>
      </c>
      <c r="D91" s="20"/>
      <c r="E91" s="20"/>
      <c r="F91" s="54"/>
      <c r="G91" s="54">
        <v>5417</v>
      </c>
      <c r="H91" s="20"/>
      <c r="I91" s="20">
        <v>3739</v>
      </c>
      <c r="J91" s="20">
        <v>2679</v>
      </c>
      <c r="K91" s="20"/>
      <c r="L91" s="20"/>
      <c r="M91" s="20"/>
      <c r="N91" s="54"/>
      <c r="O91" s="130">
        <f>SUM(C91:N91)</f>
        <v>76835</v>
      </c>
    </row>
    <row r="92" spans="1:15" ht="15">
      <c r="A92" s="53" t="s">
        <v>206</v>
      </c>
      <c r="B92" s="167" t="s">
        <v>403</v>
      </c>
      <c r="C92" s="54">
        <v>64467</v>
      </c>
      <c r="D92" s="54"/>
      <c r="E92" s="54"/>
      <c r="F92" s="54"/>
      <c r="G92" s="54">
        <v>4630</v>
      </c>
      <c r="H92" s="20"/>
      <c r="I92" s="20">
        <v>70939</v>
      </c>
      <c r="J92" s="20"/>
      <c r="K92" s="20">
        <f>80708-46</f>
        <v>80662</v>
      </c>
      <c r="L92" s="20"/>
      <c r="M92" s="226">
        <v>11848</v>
      </c>
      <c r="N92" s="54"/>
      <c r="O92" s="130">
        <f aca="true" t="shared" si="22" ref="O92:O144">SUM(C92:N92)</f>
        <v>232546</v>
      </c>
    </row>
    <row r="93" spans="1:15" ht="17.25" customHeight="1">
      <c r="A93" s="53" t="s">
        <v>207</v>
      </c>
      <c r="B93" s="38" t="s">
        <v>404</v>
      </c>
      <c r="C93" s="20">
        <v>3000</v>
      </c>
      <c r="D93" s="20"/>
      <c r="E93" s="20"/>
      <c r="F93" s="54"/>
      <c r="G93" s="20"/>
      <c r="H93" s="20"/>
      <c r="I93" s="20"/>
      <c r="J93" s="20"/>
      <c r="K93" s="20"/>
      <c r="L93" s="20"/>
      <c r="M93" s="20"/>
      <c r="N93" s="54"/>
      <c r="O93" s="130">
        <f t="shared" si="22"/>
        <v>3000</v>
      </c>
    </row>
    <row r="94" spans="1:15" ht="15">
      <c r="A94" s="53" t="s">
        <v>208</v>
      </c>
      <c r="B94" s="38" t="s">
        <v>405</v>
      </c>
      <c r="C94" s="54"/>
      <c r="D94" s="54"/>
      <c r="E94" s="54"/>
      <c r="F94" s="54"/>
      <c r="G94" s="20"/>
      <c r="H94" s="20">
        <v>53749</v>
      </c>
      <c r="I94" s="20"/>
      <c r="J94" s="8">
        <v>112431</v>
      </c>
      <c r="K94" s="20">
        <v>20648</v>
      </c>
      <c r="L94" s="20">
        <f>100865</f>
        <v>100865</v>
      </c>
      <c r="M94" s="20"/>
      <c r="N94" s="60">
        <v>104168</v>
      </c>
      <c r="O94" s="130">
        <f t="shared" si="22"/>
        <v>391861</v>
      </c>
    </row>
    <row r="95" spans="1:15" ht="15">
      <c r="A95" s="53" t="s">
        <v>305</v>
      </c>
      <c r="B95" s="158" t="s">
        <v>300</v>
      </c>
      <c r="C95" s="20">
        <f>344682+1857-600</f>
        <v>345939</v>
      </c>
      <c r="D95" s="20"/>
      <c r="E95" s="20"/>
      <c r="F95" s="20"/>
      <c r="G95" s="20">
        <v>62457</v>
      </c>
      <c r="H95" s="20"/>
      <c r="I95" s="20"/>
      <c r="J95" s="8"/>
      <c r="K95" s="20"/>
      <c r="L95" s="20"/>
      <c r="M95" s="20">
        <v>5450</v>
      </c>
      <c r="N95" s="96"/>
      <c r="O95" s="130">
        <f t="shared" si="22"/>
        <v>413846</v>
      </c>
    </row>
    <row r="96" spans="1:15" ht="30">
      <c r="A96" s="12" t="s">
        <v>343</v>
      </c>
      <c r="B96" s="168" t="s">
        <v>346</v>
      </c>
      <c r="C96" s="54">
        <f>1372662+12974</f>
        <v>1385636</v>
      </c>
      <c r="D96" s="54"/>
      <c r="E96" s="54"/>
      <c r="F96" s="54"/>
      <c r="G96" s="20"/>
      <c r="H96" s="20"/>
      <c r="I96" s="20"/>
      <c r="J96" s="8"/>
      <c r="K96" s="54"/>
      <c r="L96" s="20"/>
      <c r="M96" s="20"/>
      <c r="N96" s="96"/>
      <c r="O96" s="130">
        <f t="shared" si="22"/>
        <v>1385636</v>
      </c>
    </row>
    <row r="97" spans="1:15" ht="15.75">
      <c r="A97" s="12" t="s">
        <v>406</v>
      </c>
      <c r="B97" s="14" t="s">
        <v>407</v>
      </c>
      <c r="C97" s="54">
        <f>29434+332</f>
        <v>29766</v>
      </c>
      <c r="D97" s="54"/>
      <c r="E97" s="54"/>
      <c r="F97" s="54"/>
      <c r="G97" s="54"/>
      <c r="H97" s="54"/>
      <c r="I97" s="54"/>
      <c r="J97" s="133"/>
      <c r="K97" s="54"/>
      <c r="L97" s="54"/>
      <c r="M97" s="54"/>
      <c r="N97" s="96"/>
      <c r="O97" s="130">
        <f t="shared" si="22"/>
        <v>29766</v>
      </c>
    </row>
    <row r="98" spans="1:15" ht="15.75">
      <c r="A98" s="12" t="s">
        <v>408</v>
      </c>
      <c r="B98" s="14" t="s">
        <v>409</v>
      </c>
      <c r="C98" s="54">
        <v>54450</v>
      </c>
      <c r="D98" s="54"/>
      <c r="E98" s="54"/>
      <c r="F98" s="54"/>
      <c r="G98" s="54"/>
      <c r="H98" s="54"/>
      <c r="I98" s="54"/>
      <c r="J98" s="133"/>
      <c r="K98" s="54"/>
      <c r="L98" s="54"/>
      <c r="M98" s="54"/>
      <c r="N98" s="96"/>
      <c r="O98" s="130">
        <f t="shared" si="22"/>
        <v>54450</v>
      </c>
    </row>
    <row r="99" spans="1:15" ht="15.75">
      <c r="A99" s="12" t="s">
        <v>410</v>
      </c>
      <c r="B99" s="227" t="s">
        <v>411</v>
      </c>
      <c r="C99" s="54">
        <v>40000</v>
      </c>
      <c r="D99" s="54"/>
      <c r="E99" s="54"/>
      <c r="F99" s="54"/>
      <c r="G99" s="54"/>
      <c r="H99" s="54"/>
      <c r="I99" s="54"/>
      <c r="J99" s="133"/>
      <c r="K99" s="54"/>
      <c r="L99" s="54"/>
      <c r="M99" s="54"/>
      <c r="N99" s="54"/>
      <c r="O99" s="130">
        <f t="shared" si="22"/>
        <v>40000</v>
      </c>
    </row>
    <row r="100" spans="1:15" ht="15.75">
      <c r="A100" s="12" t="s">
        <v>461</v>
      </c>
      <c r="B100" s="227" t="s">
        <v>462</v>
      </c>
      <c r="C100" s="54"/>
      <c r="D100" s="54"/>
      <c r="E100" s="54"/>
      <c r="F100" s="54"/>
      <c r="G100" s="54">
        <v>5430</v>
      </c>
      <c r="H100" s="54"/>
      <c r="I100" s="54"/>
      <c r="J100" s="133"/>
      <c r="K100" s="54"/>
      <c r="L100" s="54"/>
      <c r="M100" s="54"/>
      <c r="N100" s="96"/>
      <c r="O100" s="130">
        <f t="shared" si="22"/>
        <v>5430</v>
      </c>
    </row>
    <row r="101" spans="1:15" ht="15">
      <c r="A101" s="12" t="s">
        <v>521</v>
      </c>
      <c r="B101" s="243" t="s">
        <v>522</v>
      </c>
      <c r="C101" s="54">
        <v>100000</v>
      </c>
      <c r="D101" s="54"/>
      <c r="E101" s="54"/>
      <c r="F101" s="54"/>
      <c r="G101" s="54"/>
      <c r="H101" s="54"/>
      <c r="I101" s="54"/>
      <c r="J101" s="133"/>
      <c r="K101" s="54"/>
      <c r="L101" s="54"/>
      <c r="M101" s="54"/>
      <c r="N101" s="96"/>
      <c r="O101" s="130">
        <f t="shared" si="22"/>
        <v>100000</v>
      </c>
    </row>
    <row r="102" spans="1:15" ht="45.75" thickBot="1">
      <c r="A102" s="16" t="s">
        <v>530</v>
      </c>
      <c r="B102" s="240" t="s">
        <v>531</v>
      </c>
      <c r="C102" s="82">
        <v>20000</v>
      </c>
      <c r="D102" s="82"/>
      <c r="E102" s="82"/>
      <c r="F102" s="82"/>
      <c r="G102" s="82"/>
      <c r="H102" s="82"/>
      <c r="I102" s="82"/>
      <c r="J102" s="147"/>
      <c r="K102" s="82"/>
      <c r="L102" s="82"/>
      <c r="M102" s="82"/>
      <c r="N102" s="82"/>
      <c r="O102" s="130">
        <f t="shared" si="22"/>
        <v>20000</v>
      </c>
    </row>
    <row r="103" spans="1:15" ht="15.75" thickBot="1">
      <c r="A103" s="83" t="s">
        <v>4</v>
      </c>
      <c r="B103" s="45" t="s">
        <v>87</v>
      </c>
      <c r="C103" s="47">
        <f>SUM(C104+C106+C107)</f>
        <v>123369</v>
      </c>
      <c r="D103" s="47">
        <f aca="true" t="shared" si="23" ref="D103:N103">SUM(D104+D106+D107)</f>
        <v>0</v>
      </c>
      <c r="E103" s="47">
        <f t="shared" si="23"/>
        <v>0</v>
      </c>
      <c r="F103" s="47">
        <f t="shared" si="23"/>
        <v>0</v>
      </c>
      <c r="G103" s="47">
        <f t="shared" si="23"/>
        <v>1930</v>
      </c>
      <c r="H103" s="47">
        <f t="shared" si="23"/>
        <v>0</v>
      </c>
      <c r="I103" s="47">
        <f t="shared" si="23"/>
        <v>0</v>
      </c>
      <c r="J103" s="47">
        <f t="shared" si="23"/>
        <v>0</v>
      </c>
      <c r="K103" s="47">
        <f t="shared" si="23"/>
        <v>3419</v>
      </c>
      <c r="L103" s="47">
        <f t="shared" si="23"/>
        <v>29093</v>
      </c>
      <c r="M103" s="47">
        <f t="shared" si="23"/>
        <v>300</v>
      </c>
      <c r="N103" s="47">
        <f t="shared" si="23"/>
        <v>2110</v>
      </c>
      <c r="O103" s="48">
        <f>SUM(C103:N103)</f>
        <v>160221</v>
      </c>
    </row>
    <row r="104" spans="1:15" s="206" customFormat="1" ht="14.25">
      <c r="A104" s="122" t="s">
        <v>88</v>
      </c>
      <c r="B104" s="123" t="s">
        <v>89</v>
      </c>
      <c r="C104" s="124">
        <f>SUM(C105:C105)</f>
        <v>0</v>
      </c>
      <c r="D104" s="124">
        <f aca="true" t="shared" si="24" ref="D104:N104">SUM(D105:D105)</f>
        <v>0</v>
      </c>
      <c r="E104" s="124">
        <f t="shared" si="24"/>
        <v>0</v>
      </c>
      <c r="F104" s="124">
        <f t="shared" si="24"/>
        <v>0</v>
      </c>
      <c r="G104" s="124">
        <f>SUM(G105:G105)</f>
        <v>1930</v>
      </c>
      <c r="H104" s="124">
        <f t="shared" si="24"/>
        <v>0</v>
      </c>
      <c r="I104" s="124">
        <f t="shared" si="24"/>
        <v>0</v>
      </c>
      <c r="J104" s="124">
        <f t="shared" si="24"/>
        <v>0</v>
      </c>
      <c r="K104" s="124">
        <f t="shared" si="24"/>
        <v>3419</v>
      </c>
      <c r="L104" s="124">
        <f t="shared" si="24"/>
        <v>29093</v>
      </c>
      <c r="M104" s="124">
        <f t="shared" si="24"/>
        <v>300</v>
      </c>
      <c r="N104" s="124">
        <f t="shared" si="24"/>
        <v>2110</v>
      </c>
      <c r="O104" s="52">
        <f>SUM(C104:N104)</f>
        <v>36852</v>
      </c>
    </row>
    <row r="105" spans="1:15" s="206" customFormat="1" ht="15">
      <c r="A105" s="53" t="s">
        <v>301</v>
      </c>
      <c r="B105" s="27" t="s">
        <v>142</v>
      </c>
      <c r="C105" s="124"/>
      <c r="D105" s="124"/>
      <c r="E105" s="124"/>
      <c r="F105" s="124"/>
      <c r="G105" s="90">
        <v>1930</v>
      </c>
      <c r="H105" s="124"/>
      <c r="I105" s="124"/>
      <c r="J105" s="124"/>
      <c r="K105" s="90">
        <v>3419</v>
      </c>
      <c r="L105" s="124">
        <v>29093</v>
      </c>
      <c r="M105" s="36">
        <v>300</v>
      </c>
      <c r="N105" s="169">
        <v>2110</v>
      </c>
      <c r="O105" s="52">
        <f>SUM(C105:N105)</f>
        <v>36852</v>
      </c>
    </row>
    <row r="106" spans="1:15" s="206" customFormat="1" ht="28.5" customHeight="1">
      <c r="A106" s="12" t="s">
        <v>283</v>
      </c>
      <c r="B106" s="10" t="s">
        <v>307</v>
      </c>
      <c r="C106" s="28">
        <v>103000</v>
      </c>
      <c r="D106" s="124"/>
      <c r="E106" s="124"/>
      <c r="F106" s="124"/>
      <c r="G106" s="90"/>
      <c r="H106" s="124"/>
      <c r="I106" s="124"/>
      <c r="J106" s="124"/>
      <c r="K106" s="90"/>
      <c r="L106" s="124"/>
      <c r="M106" s="36"/>
      <c r="N106" s="78"/>
      <c r="O106" s="130">
        <f t="shared" si="22"/>
        <v>103000</v>
      </c>
    </row>
    <row r="107" spans="1:15" ht="15.75" thickBot="1">
      <c r="A107" s="12" t="s">
        <v>342</v>
      </c>
      <c r="B107" s="17" t="s">
        <v>344</v>
      </c>
      <c r="C107" s="54">
        <v>20369</v>
      </c>
      <c r="D107" s="20"/>
      <c r="E107" s="20"/>
      <c r="F107" s="54"/>
      <c r="G107" s="20"/>
      <c r="H107" s="20"/>
      <c r="I107" s="20"/>
      <c r="J107" s="20"/>
      <c r="K107" s="20"/>
      <c r="L107" s="20"/>
      <c r="M107" s="20"/>
      <c r="N107" s="54"/>
      <c r="O107" s="130">
        <f t="shared" si="22"/>
        <v>20369</v>
      </c>
    </row>
    <row r="108" spans="1:15" ht="15.75" thickBot="1">
      <c r="A108" s="83" t="s">
        <v>6</v>
      </c>
      <c r="B108" s="45" t="s">
        <v>90</v>
      </c>
      <c r="C108" s="47">
        <f aca="true" t="shared" si="25" ref="C108:N108">C109+C113+C131+C134</f>
        <v>1873277</v>
      </c>
      <c r="D108" s="47">
        <f t="shared" si="25"/>
        <v>345453</v>
      </c>
      <c r="E108" s="47">
        <f t="shared" si="25"/>
        <v>1467842</v>
      </c>
      <c r="F108" s="47">
        <f t="shared" si="25"/>
        <v>0</v>
      </c>
      <c r="G108" s="47">
        <f t="shared" si="25"/>
        <v>209260</v>
      </c>
      <c r="H108" s="47">
        <f t="shared" si="25"/>
        <v>103423</v>
      </c>
      <c r="I108" s="47">
        <f t="shared" si="25"/>
        <v>117321</v>
      </c>
      <c r="J108" s="47">
        <f t="shared" si="25"/>
        <v>184713</v>
      </c>
      <c r="K108" s="47">
        <f t="shared" si="25"/>
        <v>39922</v>
      </c>
      <c r="L108" s="47">
        <f t="shared" si="25"/>
        <v>32741</v>
      </c>
      <c r="M108" s="47">
        <f t="shared" si="25"/>
        <v>80374</v>
      </c>
      <c r="N108" s="47">
        <f t="shared" si="25"/>
        <v>56768</v>
      </c>
      <c r="O108" s="48">
        <f t="shared" si="22"/>
        <v>4511094</v>
      </c>
    </row>
    <row r="109" spans="1:15" ht="15">
      <c r="A109" s="122" t="s">
        <v>91</v>
      </c>
      <c r="B109" s="123" t="s">
        <v>92</v>
      </c>
      <c r="C109" s="124">
        <f>SUM(C110:C112)</f>
        <v>478999</v>
      </c>
      <c r="D109" s="124">
        <f aca="true" t="shared" si="26" ref="D109:N109">SUM(D110:D112)</f>
        <v>345453</v>
      </c>
      <c r="E109" s="124">
        <f t="shared" si="26"/>
        <v>0</v>
      </c>
      <c r="F109" s="124">
        <f t="shared" si="26"/>
        <v>0</v>
      </c>
      <c r="G109" s="124">
        <f t="shared" si="26"/>
        <v>5470</v>
      </c>
      <c r="H109" s="124">
        <f t="shared" si="26"/>
        <v>0</v>
      </c>
      <c r="I109" s="124">
        <f t="shared" si="26"/>
        <v>0</v>
      </c>
      <c r="J109" s="124">
        <f t="shared" si="26"/>
        <v>6359</v>
      </c>
      <c r="K109" s="124">
        <f t="shared" si="26"/>
        <v>0</v>
      </c>
      <c r="L109" s="124">
        <f t="shared" si="26"/>
        <v>0</v>
      </c>
      <c r="M109" s="124">
        <f t="shared" si="26"/>
        <v>10961</v>
      </c>
      <c r="N109" s="124">
        <f t="shared" si="26"/>
        <v>0</v>
      </c>
      <c r="O109" s="162">
        <f>SUM(C109:N109)</f>
        <v>847242</v>
      </c>
    </row>
    <row r="110" spans="1:15" ht="15">
      <c r="A110" s="53" t="s">
        <v>209</v>
      </c>
      <c r="B110" s="27" t="s">
        <v>93</v>
      </c>
      <c r="C110" s="54">
        <v>66387</v>
      </c>
      <c r="D110" s="20"/>
      <c r="E110" s="20"/>
      <c r="F110" s="54"/>
      <c r="G110" s="20">
        <v>5470</v>
      </c>
      <c r="H110" s="20"/>
      <c r="I110" s="20"/>
      <c r="J110" s="20">
        <v>6359</v>
      </c>
      <c r="K110" s="20"/>
      <c r="L110" s="20"/>
      <c r="M110" s="20">
        <v>10961</v>
      </c>
      <c r="N110" s="54"/>
      <c r="O110" s="130">
        <f t="shared" si="22"/>
        <v>89177</v>
      </c>
    </row>
    <row r="111" spans="1:15" ht="30">
      <c r="A111" s="53" t="s">
        <v>210</v>
      </c>
      <c r="B111" s="27" t="s">
        <v>94</v>
      </c>
      <c r="C111" s="54">
        <v>412612</v>
      </c>
      <c r="D111" s="20"/>
      <c r="E111" s="20"/>
      <c r="F111" s="54"/>
      <c r="G111" s="20"/>
      <c r="H111" s="20"/>
      <c r="I111" s="20"/>
      <c r="J111" s="20"/>
      <c r="K111" s="20"/>
      <c r="L111" s="20"/>
      <c r="M111" s="20"/>
      <c r="N111" s="54"/>
      <c r="O111" s="130">
        <f t="shared" si="22"/>
        <v>412612</v>
      </c>
    </row>
    <row r="112" spans="1:15" ht="15">
      <c r="A112" s="53" t="s">
        <v>271</v>
      </c>
      <c r="B112" s="27" t="s">
        <v>272</v>
      </c>
      <c r="C112" s="54"/>
      <c r="D112" s="54">
        <v>345453</v>
      </c>
      <c r="E112" s="54"/>
      <c r="F112" s="54"/>
      <c r="G112" s="20"/>
      <c r="H112" s="54"/>
      <c r="I112" s="54"/>
      <c r="J112" s="54"/>
      <c r="K112" s="54"/>
      <c r="L112" s="54"/>
      <c r="M112" s="54"/>
      <c r="N112" s="54"/>
      <c r="O112" s="130">
        <f t="shared" si="22"/>
        <v>345453</v>
      </c>
    </row>
    <row r="113" spans="1:15" ht="15">
      <c r="A113" s="129" t="s">
        <v>95</v>
      </c>
      <c r="B113" s="131" t="s">
        <v>5</v>
      </c>
      <c r="C113" s="95">
        <f>SUM(C114+C115+C118+C122)</f>
        <v>1295207</v>
      </c>
      <c r="D113" s="95">
        <f aca="true" t="shared" si="27" ref="D113:N113">SUM(D114+D115+D118+D122)</f>
        <v>0</v>
      </c>
      <c r="E113" s="95">
        <f t="shared" si="27"/>
        <v>1467842</v>
      </c>
      <c r="F113" s="95">
        <f t="shared" si="27"/>
        <v>0</v>
      </c>
      <c r="G113" s="95">
        <f t="shared" si="27"/>
        <v>203790</v>
      </c>
      <c r="H113" s="95">
        <f t="shared" si="27"/>
        <v>103423</v>
      </c>
      <c r="I113" s="95">
        <f t="shared" si="27"/>
        <v>113487</v>
      </c>
      <c r="J113" s="95">
        <f t="shared" si="27"/>
        <v>171772</v>
      </c>
      <c r="K113" s="95">
        <f t="shared" si="27"/>
        <v>39922</v>
      </c>
      <c r="L113" s="95">
        <f t="shared" si="27"/>
        <v>32741</v>
      </c>
      <c r="M113" s="95">
        <f t="shared" si="27"/>
        <v>69413</v>
      </c>
      <c r="N113" s="95">
        <f t="shared" si="27"/>
        <v>56768</v>
      </c>
      <c r="O113" s="130">
        <f t="shared" si="22"/>
        <v>3554365</v>
      </c>
    </row>
    <row r="114" spans="1:15" ht="15">
      <c r="A114" s="53" t="s">
        <v>322</v>
      </c>
      <c r="B114" s="27" t="s">
        <v>143</v>
      </c>
      <c r="C114" s="54">
        <f>367416+300000+12100+2000</f>
        <v>681516</v>
      </c>
      <c r="D114" s="20"/>
      <c r="E114" s="20"/>
      <c r="F114" s="54"/>
      <c r="G114" s="237">
        <v>31470</v>
      </c>
      <c r="H114" s="20">
        <v>29941</v>
      </c>
      <c r="I114" s="20">
        <v>14742</v>
      </c>
      <c r="J114" s="20">
        <v>32008</v>
      </c>
      <c r="K114" s="20">
        <v>14989</v>
      </c>
      <c r="L114" s="20">
        <v>13903</v>
      </c>
      <c r="M114" s="226">
        <v>16033</v>
      </c>
      <c r="N114" s="60">
        <v>17019</v>
      </c>
      <c r="O114" s="130">
        <f t="shared" si="22"/>
        <v>851621</v>
      </c>
    </row>
    <row r="115" spans="1:15" ht="15">
      <c r="A115" s="53" t="s">
        <v>362</v>
      </c>
      <c r="B115" s="27" t="s">
        <v>123</v>
      </c>
      <c r="C115" s="54">
        <f aca="true" t="shared" si="28" ref="C115:N115">SUM(C116:C117)</f>
        <v>192280</v>
      </c>
      <c r="D115" s="54">
        <f t="shared" si="28"/>
        <v>0</v>
      </c>
      <c r="E115" s="54">
        <f t="shared" si="28"/>
        <v>0</v>
      </c>
      <c r="F115" s="54">
        <f t="shared" si="28"/>
        <v>0</v>
      </c>
      <c r="G115" s="54">
        <f t="shared" si="28"/>
        <v>0</v>
      </c>
      <c r="H115" s="54">
        <f t="shared" si="28"/>
        <v>0</v>
      </c>
      <c r="I115" s="54">
        <f t="shared" si="28"/>
        <v>0</v>
      </c>
      <c r="J115" s="54">
        <f t="shared" si="28"/>
        <v>0</v>
      </c>
      <c r="K115" s="54">
        <f t="shared" si="28"/>
        <v>0</v>
      </c>
      <c r="L115" s="54">
        <f t="shared" si="28"/>
        <v>0</v>
      </c>
      <c r="M115" s="54">
        <f t="shared" si="28"/>
        <v>12608</v>
      </c>
      <c r="N115" s="54">
        <f t="shared" si="28"/>
        <v>0</v>
      </c>
      <c r="O115" s="130">
        <f t="shared" si="22"/>
        <v>204888</v>
      </c>
    </row>
    <row r="116" spans="1:15" ht="15">
      <c r="A116" s="53" t="s">
        <v>211</v>
      </c>
      <c r="B116" s="27" t="s">
        <v>254</v>
      </c>
      <c r="C116" s="54">
        <v>192280</v>
      </c>
      <c r="D116" s="20"/>
      <c r="E116" s="20"/>
      <c r="F116" s="54"/>
      <c r="G116" s="20"/>
      <c r="H116" s="20"/>
      <c r="I116" s="20"/>
      <c r="J116" s="20"/>
      <c r="K116" s="20"/>
      <c r="L116" s="20"/>
      <c r="M116" s="20"/>
      <c r="N116" s="58"/>
      <c r="O116" s="130">
        <f t="shared" si="22"/>
        <v>192280</v>
      </c>
    </row>
    <row r="117" spans="1:15" ht="15">
      <c r="A117" s="53" t="s">
        <v>330</v>
      </c>
      <c r="B117" s="38" t="s">
        <v>412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20">
        <v>12608</v>
      </c>
      <c r="N117" s="58"/>
      <c r="O117" s="130">
        <f t="shared" si="22"/>
        <v>12608</v>
      </c>
    </row>
    <row r="118" spans="1:15" ht="15">
      <c r="A118" s="53" t="s">
        <v>96</v>
      </c>
      <c r="B118" s="27" t="s">
        <v>363</v>
      </c>
      <c r="C118" s="54">
        <f aca="true" t="shared" si="29" ref="C118:N118">SUM(C119:C121)</f>
        <v>0</v>
      </c>
      <c r="D118" s="54">
        <f t="shared" si="29"/>
        <v>0</v>
      </c>
      <c r="E118" s="54">
        <f>SUM(E119:E121)</f>
        <v>1467842</v>
      </c>
      <c r="F118" s="54">
        <f t="shared" si="29"/>
        <v>0</v>
      </c>
      <c r="G118" s="54">
        <f t="shared" si="29"/>
        <v>172320</v>
      </c>
      <c r="H118" s="54">
        <f t="shared" si="29"/>
        <v>73482</v>
      </c>
      <c r="I118" s="54">
        <f t="shared" si="29"/>
        <v>98745</v>
      </c>
      <c r="J118" s="54">
        <f t="shared" si="29"/>
        <v>139764</v>
      </c>
      <c r="K118" s="54">
        <f t="shared" si="29"/>
        <v>24933</v>
      </c>
      <c r="L118" s="54">
        <f t="shared" si="29"/>
        <v>18838</v>
      </c>
      <c r="M118" s="54">
        <f t="shared" si="29"/>
        <v>40772</v>
      </c>
      <c r="N118" s="54">
        <f t="shared" si="29"/>
        <v>32249</v>
      </c>
      <c r="O118" s="130">
        <f t="shared" si="22"/>
        <v>2068945</v>
      </c>
    </row>
    <row r="119" spans="1:15" ht="15">
      <c r="A119" s="53" t="s">
        <v>284</v>
      </c>
      <c r="B119" s="27" t="s">
        <v>309</v>
      </c>
      <c r="C119" s="54"/>
      <c r="D119" s="20"/>
      <c r="E119" s="20">
        <v>385884</v>
      </c>
      <c r="F119" s="54"/>
      <c r="G119" s="237">
        <v>172320</v>
      </c>
      <c r="H119" s="20">
        <v>73482</v>
      </c>
      <c r="I119" s="20">
        <v>78470</v>
      </c>
      <c r="J119" s="20">
        <v>139764</v>
      </c>
      <c r="K119" s="20">
        <v>24933</v>
      </c>
      <c r="L119" s="20">
        <v>18838</v>
      </c>
      <c r="M119" s="226">
        <v>40772</v>
      </c>
      <c r="N119" s="60">
        <v>32249</v>
      </c>
      <c r="O119" s="130">
        <f t="shared" si="22"/>
        <v>966712</v>
      </c>
    </row>
    <row r="120" spans="1:15" ht="15">
      <c r="A120" s="53" t="s">
        <v>331</v>
      </c>
      <c r="B120" s="27" t="s">
        <v>364</v>
      </c>
      <c r="C120" s="54"/>
      <c r="D120" s="20"/>
      <c r="E120" s="20"/>
      <c r="F120" s="54"/>
      <c r="G120" s="59"/>
      <c r="H120" s="20"/>
      <c r="I120" s="20">
        <v>20275</v>
      </c>
      <c r="J120" s="20"/>
      <c r="K120" s="20"/>
      <c r="L120" s="20"/>
      <c r="M120" s="20"/>
      <c r="N120" s="58"/>
      <c r="O120" s="130">
        <f t="shared" si="22"/>
        <v>20275</v>
      </c>
    </row>
    <row r="121" spans="1:15" ht="15">
      <c r="A121" s="53" t="s">
        <v>308</v>
      </c>
      <c r="B121" s="27" t="s">
        <v>124</v>
      </c>
      <c r="C121" s="54"/>
      <c r="D121" s="20"/>
      <c r="E121" s="20">
        <f>1069126+12832</f>
        <v>1081958</v>
      </c>
      <c r="F121" s="54"/>
      <c r="G121" s="20"/>
      <c r="H121" s="20"/>
      <c r="I121" s="20"/>
      <c r="J121" s="20"/>
      <c r="K121" s="20"/>
      <c r="L121" s="20"/>
      <c r="M121" s="20"/>
      <c r="N121" s="54"/>
      <c r="O121" s="130">
        <f t="shared" si="22"/>
        <v>1081958</v>
      </c>
    </row>
    <row r="122" spans="1:15" s="206" customFormat="1" ht="14.25">
      <c r="A122" s="129" t="s">
        <v>97</v>
      </c>
      <c r="B122" s="92" t="s">
        <v>212</v>
      </c>
      <c r="C122" s="36">
        <f aca="true" t="shared" si="30" ref="C122:N122">SUM(C123:C130)</f>
        <v>421411</v>
      </c>
      <c r="D122" s="36">
        <f t="shared" si="30"/>
        <v>0</v>
      </c>
      <c r="E122" s="36">
        <f t="shared" si="30"/>
        <v>0</v>
      </c>
      <c r="F122" s="36">
        <f t="shared" si="30"/>
        <v>0</v>
      </c>
      <c r="G122" s="36">
        <f t="shared" si="30"/>
        <v>0</v>
      </c>
      <c r="H122" s="36">
        <f t="shared" si="30"/>
        <v>0</v>
      </c>
      <c r="I122" s="36">
        <f t="shared" si="30"/>
        <v>0</v>
      </c>
      <c r="J122" s="36">
        <f t="shared" si="30"/>
        <v>0</v>
      </c>
      <c r="K122" s="36">
        <f t="shared" si="30"/>
        <v>0</v>
      </c>
      <c r="L122" s="36">
        <f t="shared" si="30"/>
        <v>0</v>
      </c>
      <c r="M122" s="36">
        <f t="shared" si="30"/>
        <v>0</v>
      </c>
      <c r="N122" s="36">
        <f t="shared" si="30"/>
        <v>7500</v>
      </c>
      <c r="O122" s="130">
        <f>SUM(C122:N122)</f>
        <v>428911</v>
      </c>
    </row>
    <row r="123" spans="1:15" ht="15">
      <c r="A123" s="53" t="s">
        <v>213</v>
      </c>
      <c r="B123" s="38" t="s">
        <v>285</v>
      </c>
      <c r="C123" s="133">
        <f>72604+4000</f>
        <v>76604</v>
      </c>
      <c r="D123" s="20"/>
      <c r="E123" s="20"/>
      <c r="F123" s="54"/>
      <c r="G123" s="20"/>
      <c r="H123" s="20"/>
      <c r="I123" s="20"/>
      <c r="J123" s="20"/>
      <c r="K123" s="20"/>
      <c r="L123" s="20"/>
      <c r="M123" s="20"/>
      <c r="N123" s="54">
        <v>7500</v>
      </c>
      <c r="O123" s="130">
        <f t="shared" si="22"/>
        <v>84104</v>
      </c>
    </row>
    <row r="124" spans="1:15" ht="15">
      <c r="A124" s="53" t="s">
        <v>214</v>
      </c>
      <c r="B124" s="38" t="s">
        <v>125</v>
      </c>
      <c r="C124" s="54">
        <v>153525</v>
      </c>
      <c r="D124" s="20"/>
      <c r="E124" s="20"/>
      <c r="F124" s="54"/>
      <c r="G124" s="20"/>
      <c r="H124" s="20"/>
      <c r="I124" s="20"/>
      <c r="J124" s="20"/>
      <c r="K124" s="20"/>
      <c r="L124" s="20"/>
      <c r="M124" s="20"/>
      <c r="N124" s="54"/>
      <c r="O124" s="130">
        <f t="shared" si="22"/>
        <v>153525</v>
      </c>
    </row>
    <row r="125" spans="1:15" ht="30">
      <c r="A125" s="53" t="s">
        <v>302</v>
      </c>
      <c r="B125" s="38" t="s">
        <v>413</v>
      </c>
      <c r="C125" s="133">
        <v>20000</v>
      </c>
      <c r="D125" s="20"/>
      <c r="E125" s="20"/>
      <c r="F125" s="54"/>
      <c r="G125" s="20"/>
      <c r="H125" s="20"/>
      <c r="I125" s="20"/>
      <c r="J125" s="20"/>
      <c r="K125" s="20"/>
      <c r="L125" s="20"/>
      <c r="M125" s="20"/>
      <c r="N125" s="54"/>
      <c r="O125" s="130">
        <f t="shared" si="22"/>
        <v>20000</v>
      </c>
    </row>
    <row r="126" spans="1:15" ht="45">
      <c r="A126" s="53" t="s">
        <v>262</v>
      </c>
      <c r="B126" s="170" t="s">
        <v>414</v>
      </c>
      <c r="C126" s="54">
        <v>20000</v>
      </c>
      <c r="D126" s="20"/>
      <c r="E126" s="20"/>
      <c r="F126" s="54"/>
      <c r="G126" s="20"/>
      <c r="H126" s="20"/>
      <c r="I126" s="20"/>
      <c r="J126" s="20"/>
      <c r="K126" s="20"/>
      <c r="L126" s="20"/>
      <c r="M126" s="20"/>
      <c r="N126" s="54"/>
      <c r="O126" s="130">
        <f t="shared" si="22"/>
        <v>20000</v>
      </c>
    </row>
    <row r="127" spans="1:15" ht="47.25">
      <c r="A127" s="12" t="s">
        <v>365</v>
      </c>
      <c r="B127" s="15" t="s">
        <v>415</v>
      </c>
      <c r="C127" s="54">
        <v>47418</v>
      </c>
      <c r="D127" s="20"/>
      <c r="E127" s="20"/>
      <c r="F127" s="54"/>
      <c r="G127" s="20"/>
      <c r="H127" s="20"/>
      <c r="I127" s="20"/>
      <c r="J127" s="20"/>
      <c r="K127" s="20"/>
      <c r="L127" s="20"/>
      <c r="M127" s="20"/>
      <c r="N127" s="54"/>
      <c r="O127" s="130">
        <f t="shared" si="22"/>
        <v>47418</v>
      </c>
    </row>
    <row r="128" spans="1:15" ht="30">
      <c r="A128" s="12" t="s">
        <v>427</v>
      </c>
      <c r="B128" s="30" t="s">
        <v>428</v>
      </c>
      <c r="C128" s="54">
        <v>61672</v>
      </c>
      <c r="D128" s="20"/>
      <c r="E128" s="20"/>
      <c r="F128" s="54"/>
      <c r="G128" s="20"/>
      <c r="H128" s="20"/>
      <c r="I128" s="20"/>
      <c r="J128" s="20"/>
      <c r="K128" s="20"/>
      <c r="L128" s="20"/>
      <c r="M128" s="20"/>
      <c r="N128" s="54"/>
      <c r="O128" s="130">
        <f t="shared" si="22"/>
        <v>61672</v>
      </c>
    </row>
    <row r="129" spans="1:15" ht="30">
      <c r="A129" s="12" t="s">
        <v>431</v>
      </c>
      <c r="B129" s="30" t="s">
        <v>473</v>
      </c>
      <c r="C129" s="54">
        <v>22192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130">
        <f>SUM(C129:N129)</f>
        <v>22192</v>
      </c>
    </row>
    <row r="130" spans="1:15" ht="15">
      <c r="A130" s="12" t="s">
        <v>528</v>
      </c>
      <c r="B130" s="242" t="s">
        <v>529</v>
      </c>
      <c r="C130" s="54">
        <v>20000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130">
        <f t="shared" si="22"/>
        <v>20000</v>
      </c>
    </row>
    <row r="131" spans="1:15" ht="15">
      <c r="A131" s="129" t="s">
        <v>310</v>
      </c>
      <c r="B131" s="171" t="s">
        <v>311</v>
      </c>
      <c r="C131" s="54">
        <f aca="true" t="shared" si="31" ref="C131:N131">SUM(C132:C133)</f>
        <v>88489</v>
      </c>
      <c r="D131" s="54">
        <f t="shared" si="31"/>
        <v>0</v>
      </c>
      <c r="E131" s="54">
        <f t="shared" si="31"/>
        <v>0</v>
      </c>
      <c r="F131" s="54">
        <f t="shared" si="31"/>
        <v>0</v>
      </c>
      <c r="G131" s="54">
        <f t="shared" si="31"/>
        <v>0</v>
      </c>
      <c r="H131" s="54">
        <f t="shared" si="31"/>
        <v>0</v>
      </c>
      <c r="I131" s="54">
        <f t="shared" si="31"/>
        <v>3834</v>
      </c>
      <c r="J131" s="54">
        <f t="shared" si="31"/>
        <v>6582</v>
      </c>
      <c r="K131" s="54">
        <f t="shared" si="31"/>
        <v>0</v>
      </c>
      <c r="L131" s="54">
        <f t="shared" si="31"/>
        <v>0</v>
      </c>
      <c r="M131" s="54">
        <f t="shared" si="31"/>
        <v>0</v>
      </c>
      <c r="N131" s="54">
        <f t="shared" si="31"/>
        <v>0</v>
      </c>
      <c r="O131" s="130">
        <f t="shared" si="22"/>
        <v>98905</v>
      </c>
    </row>
    <row r="132" spans="1:15" ht="15">
      <c r="A132" s="11" t="s">
        <v>332</v>
      </c>
      <c r="B132" s="92" t="s">
        <v>98</v>
      </c>
      <c r="C132" s="172">
        <v>23600</v>
      </c>
      <c r="D132" s="36"/>
      <c r="E132" s="36"/>
      <c r="F132" s="95"/>
      <c r="G132" s="20"/>
      <c r="H132" s="20"/>
      <c r="I132" s="20"/>
      <c r="J132" s="20">
        <v>2300</v>
      </c>
      <c r="K132" s="20"/>
      <c r="L132" s="20"/>
      <c r="M132" s="20"/>
      <c r="N132" s="54"/>
      <c r="O132" s="130">
        <f t="shared" si="22"/>
        <v>25900</v>
      </c>
    </row>
    <row r="133" spans="1:15" ht="29.25">
      <c r="A133" s="11" t="s">
        <v>333</v>
      </c>
      <c r="B133" s="92" t="s">
        <v>99</v>
      </c>
      <c r="C133" s="95">
        <f>70747-5858</f>
        <v>64889</v>
      </c>
      <c r="D133" s="36"/>
      <c r="E133" s="36"/>
      <c r="F133" s="95"/>
      <c r="G133" s="20"/>
      <c r="H133" s="20"/>
      <c r="I133" s="20">
        <v>3834</v>
      </c>
      <c r="J133" s="20">
        <v>4282</v>
      </c>
      <c r="K133" s="20"/>
      <c r="L133" s="20"/>
      <c r="M133" s="20"/>
      <c r="N133" s="54"/>
      <c r="O133" s="130">
        <f t="shared" si="22"/>
        <v>73005</v>
      </c>
    </row>
    <row r="134" spans="1:15" ht="44.25" thickBot="1">
      <c r="A134" s="18" t="s">
        <v>540</v>
      </c>
      <c r="B134" s="173" t="s">
        <v>463</v>
      </c>
      <c r="C134" s="151">
        <f>15000-4418</f>
        <v>10582</v>
      </c>
      <c r="D134" s="174"/>
      <c r="E134" s="174"/>
      <c r="F134" s="151"/>
      <c r="G134" s="81"/>
      <c r="H134" s="81"/>
      <c r="I134" s="81"/>
      <c r="J134" s="81"/>
      <c r="K134" s="81"/>
      <c r="L134" s="81"/>
      <c r="M134" s="81"/>
      <c r="N134" s="82"/>
      <c r="O134" s="130">
        <f t="shared" si="22"/>
        <v>10582</v>
      </c>
    </row>
    <row r="135" spans="1:15" ht="15.75" thickBot="1">
      <c r="A135" s="175" t="s">
        <v>100</v>
      </c>
      <c r="B135" s="161" t="s">
        <v>0</v>
      </c>
      <c r="C135" s="46">
        <f aca="true" t="shared" si="32" ref="C135:N135">C136+C146+C147+C157+C162+C166+C167</f>
        <v>26994629</v>
      </c>
      <c r="D135" s="46">
        <f t="shared" si="32"/>
        <v>0</v>
      </c>
      <c r="E135" s="46">
        <f t="shared" si="32"/>
        <v>0</v>
      </c>
      <c r="F135" s="46">
        <f t="shared" si="32"/>
        <v>0</v>
      </c>
      <c r="G135" s="46">
        <f t="shared" si="32"/>
        <v>1126092</v>
      </c>
      <c r="H135" s="46">
        <f t="shared" si="32"/>
        <v>0</v>
      </c>
      <c r="I135" s="46">
        <f t="shared" si="32"/>
        <v>432943</v>
      </c>
      <c r="J135" s="46">
        <f t="shared" si="32"/>
        <v>1240565</v>
      </c>
      <c r="K135" s="46">
        <f t="shared" si="32"/>
        <v>43934</v>
      </c>
      <c r="L135" s="46">
        <f t="shared" si="32"/>
        <v>65132</v>
      </c>
      <c r="M135" s="46">
        <f t="shared" si="32"/>
        <v>38053</v>
      </c>
      <c r="N135" s="46">
        <f t="shared" si="32"/>
        <v>618746</v>
      </c>
      <c r="O135" s="48">
        <f t="shared" si="22"/>
        <v>30560094</v>
      </c>
    </row>
    <row r="136" spans="1:15" ht="15">
      <c r="A136" s="122" t="s">
        <v>101</v>
      </c>
      <c r="B136" s="123" t="s">
        <v>215</v>
      </c>
      <c r="C136" s="124">
        <f>SUM(C137:C145)</f>
        <v>4792143</v>
      </c>
      <c r="D136" s="124">
        <f aca="true" t="shared" si="33" ref="D136:N136">SUM(D137:D145)</f>
        <v>0</v>
      </c>
      <c r="E136" s="124">
        <f t="shared" si="33"/>
        <v>0</v>
      </c>
      <c r="F136" s="124">
        <f t="shared" si="33"/>
        <v>0</v>
      </c>
      <c r="G136" s="124">
        <f t="shared" si="33"/>
        <v>0</v>
      </c>
      <c r="H136" s="124">
        <f t="shared" si="33"/>
        <v>0</v>
      </c>
      <c r="I136" s="124">
        <f t="shared" si="33"/>
        <v>0</v>
      </c>
      <c r="J136" s="124">
        <f t="shared" si="33"/>
        <v>382672</v>
      </c>
      <c r="K136" s="124">
        <f t="shared" si="33"/>
        <v>0</v>
      </c>
      <c r="L136" s="124">
        <f t="shared" si="33"/>
        <v>0</v>
      </c>
      <c r="M136" s="124">
        <f t="shared" si="33"/>
        <v>0</v>
      </c>
      <c r="N136" s="124">
        <f t="shared" si="33"/>
        <v>0</v>
      </c>
      <c r="O136" s="162">
        <f t="shared" si="22"/>
        <v>5174815</v>
      </c>
    </row>
    <row r="137" spans="1:15" ht="15">
      <c r="A137" s="53" t="s">
        <v>216</v>
      </c>
      <c r="B137" s="27" t="s">
        <v>102</v>
      </c>
      <c r="C137" s="54">
        <f>866212+5562+15910</f>
        <v>887684</v>
      </c>
      <c r="D137" s="20"/>
      <c r="E137" s="20"/>
      <c r="F137" s="54"/>
      <c r="G137" s="20"/>
      <c r="H137" s="20"/>
      <c r="I137" s="20"/>
      <c r="J137" s="20"/>
      <c r="K137" s="20"/>
      <c r="L137" s="20"/>
      <c r="M137" s="20"/>
      <c r="N137" s="54"/>
      <c r="O137" s="130">
        <f t="shared" si="22"/>
        <v>887684</v>
      </c>
    </row>
    <row r="138" spans="1:15" ht="15">
      <c r="A138" s="53" t="s">
        <v>217</v>
      </c>
      <c r="B138" s="27" t="s">
        <v>103</v>
      </c>
      <c r="C138" s="54">
        <f>620403+11310</f>
        <v>631713</v>
      </c>
      <c r="D138" s="20"/>
      <c r="E138" s="20"/>
      <c r="F138" s="54"/>
      <c r="G138" s="20"/>
      <c r="H138" s="20"/>
      <c r="I138" s="20"/>
      <c r="J138" s="20"/>
      <c r="K138" s="20"/>
      <c r="L138" s="20"/>
      <c r="M138" s="20"/>
      <c r="N138" s="54"/>
      <c r="O138" s="130">
        <f t="shared" si="22"/>
        <v>631713</v>
      </c>
    </row>
    <row r="139" spans="1:15" ht="15">
      <c r="A139" s="53" t="s">
        <v>218</v>
      </c>
      <c r="B139" s="27" t="s">
        <v>104</v>
      </c>
      <c r="C139" s="54">
        <f>651038+12330</f>
        <v>663368</v>
      </c>
      <c r="D139" s="20"/>
      <c r="E139" s="20"/>
      <c r="F139" s="54"/>
      <c r="G139" s="20"/>
      <c r="H139" s="20"/>
      <c r="I139" s="20"/>
      <c r="J139" s="20"/>
      <c r="K139" s="20"/>
      <c r="L139" s="20"/>
      <c r="M139" s="20"/>
      <c r="N139" s="54"/>
      <c r="O139" s="130">
        <f t="shared" si="22"/>
        <v>663368</v>
      </c>
    </row>
    <row r="140" spans="1:15" ht="15">
      <c r="A140" s="53" t="s">
        <v>219</v>
      </c>
      <c r="B140" s="27" t="s">
        <v>105</v>
      </c>
      <c r="C140" s="54">
        <f>742565+14630</f>
        <v>757195</v>
      </c>
      <c r="D140" s="20"/>
      <c r="E140" s="20"/>
      <c r="F140" s="54"/>
      <c r="G140" s="20"/>
      <c r="H140" s="20"/>
      <c r="I140" s="20"/>
      <c r="J140" s="20"/>
      <c r="K140" s="20"/>
      <c r="L140" s="20"/>
      <c r="M140" s="20"/>
      <c r="N140" s="54"/>
      <c r="O140" s="130">
        <f t="shared" si="22"/>
        <v>757195</v>
      </c>
    </row>
    <row r="141" spans="1:15" ht="15">
      <c r="A141" s="53" t="s">
        <v>220</v>
      </c>
      <c r="B141" s="27" t="s">
        <v>106</v>
      </c>
      <c r="C141" s="54">
        <f>409914+6375</f>
        <v>416289</v>
      </c>
      <c r="D141" s="20"/>
      <c r="E141" s="20"/>
      <c r="F141" s="54"/>
      <c r="G141" s="20"/>
      <c r="H141" s="20"/>
      <c r="I141" s="20"/>
      <c r="J141" s="20"/>
      <c r="K141" s="20"/>
      <c r="L141" s="20"/>
      <c r="M141" s="20"/>
      <c r="N141" s="54"/>
      <c r="O141" s="130">
        <f t="shared" si="22"/>
        <v>416289</v>
      </c>
    </row>
    <row r="142" spans="1:15" ht="15">
      <c r="A142" s="53" t="s">
        <v>221</v>
      </c>
      <c r="B142" s="27" t="s">
        <v>126</v>
      </c>
      <c r="C142" s="54">
        <f>783618+15395</f>
        <v>799013</v>
      </c>
      <c r="D142" s="20"/>
      <c r="E142" s="20"/>
      <c r="F142" s="54"/>
      <c r="G142" s="20"/>
      <c r="H142" s="20"/>
      <c r="I142" s="20"/>
      <c r="J142" s="20"/>
      <c r="K142" s="20"/>
      <c r="L142" s="20"/>
      <c r="M142" s="20"/>
      <c r="N142" s="54"/>
      <c r="O142" s="130">
        <f t="shared" si="22"/>
        <v>799013</v>
      </c>
    </row>
    <row r="143" spans="1:15" ht="15">
      <c r="A143" s="53" t="s">
        <v>222</v>
      </c>
      <c r="B143" s="27" t="s">
        <v>144</v>
      </c>
      <c r="C143" s="54">
        <f>408541+7340</f>
        <v>415881</v>
      </c>
      <c r="D143" s="54"/>
      <c r="E143" s="54"/>
      <c r="F143" s="54"/>
      <c r="G143" s="20"/>
      <c r="H143" s="20"/>
      <c r="I143" s="20"/>
      <c r="J143" s="54"/>
      <c r="K143" s="54"/>
      <c r="L143" s="54"/>
      <c r="M143" s="54"/>
      <c r="N143" s="54"/>
      <c r="O143" s="130">
        <f t="shared" si="22"/>
        <v>415881</v>
      </c>
    </row>
    <row r="144" spans="1:15" ht="15">
      <c r="A144" s="53" t="s">
        <v>223</v>
      </c>
      <c r="B144" s="27" t="s">
        <v>145</v>
      </c>
      <c r="C144" s="54"/>
      <c r="D144" s="54"/>
      <c r="E144" s="54"/>
      <c r="F144" s="54"/>
      <c r="G144" s="20"/>
      <c r="H144" s="20"/>
      <c r="I144" s="20"/>
      <c r="J144" s="3">
        <v>382672</v>
      </c>
      <c r="K144" s="54"/>
      <c r="L144" s="54"/>
      <c r="M144" s="54"/>
      <c r="N144" s="54"/>
      <c r="O144" s="130">
        <f t="shared" si="22"/>
        <v>382672</v>
      </c>
    </row>
    <row r="145" spans="1:15" ht="30">
      <c r="A145" s="53" t="s">
        <v>224</v>
      </c>
      <c r="B145" s="27" t="s">
        <v>416</v>
      </c>
      <c r="C145" s="54">
        <v>221000</v>
      </c>
      <c r="D145" s="54"/>
      <c r="E145" s="54"/>
      <c r="F145" s="54"/>
      <c r="G145" s="20"/>
      <c r="H145" s="20"/>
      <c r="I145" s="20"/>
      <c r="J145" s="54"/>
      <c r="K145" s="54"/>
      <c r="L145" s="54"/>
      <c r="M145" s="54"/>
      <c r="N145" s="96"/>
      <c r="O145" s="130">
        <f>SUM(C145:N145)</f>
        <v>221000</v>
      </c>
    </row>
    <row r="146" spans="1:15" ht="15">
      <c r="A146" s="129" t="s">
        <v>107</v>
      </c>
      <c r="B146" s="92" t="s">
        <v>225</v>
      </c>
      <c r="C146" s="54">
        <f>1058476+250+34616</f>
        <v>1093342</v>
      </c>
      <c r="D146" s="54"/>
      <c r="E146" s="54"/>
      <c r="F146" s="54"/>
      <c r="G146" s="59"/>
      <c r="H146" s="54"/>
      <c r="I146" s="54"/>
      <c r="J146" s="54"/>
      <c r="K146" s="54"/>
      <c r="L146" s="54"/>
      <c r="M146" s="54"/>
      <c r="N146" s="54"/>
      <c r="O146" s="130">
        <f>SUM(C146:N146)</f>
        <v>1093342</v>
      </c>
    </row>
    <row r="147" spans="1:15" ht="29.25">
      <c r="A147" s="129" t="s">
        <v>148</v>
      </c>
      <c r="B147" s="92" t="s">
        <v>226</v>
      </c>
      <c r="C147" s="95">
        <f aca="true" t="shared" si="34" ref="C147:N147">SUM(C148:C156)</f>
        <v>5103471</v>
      </c>
      <c r="D147" s="95">
        <f t="shared" si="34"/>
        <v>0</v>
      </c>
      <c r="E147" s="95">
        <f t="shared" si="34"/>
        <v>0</v>
      </c>
      <c r="F147" s="95">
        <f t="shared" si="34"/>
        <v>0</v>
      </c>
      <c r="G147" s="95">
        <f t="shared" si="34"/>
        <v>977519</v>
      </c>
      <c r="H147" s="95">
        <f t="shared" si="34"/>
        <v>0</v>
      </c>
      <c r="I147" s="95">
        <f t="shared" si="34"/>
        <v>411612</v>
      </c>
      <c r="J147" s="95">
        <f t="shared" si="34"/>
        <v>522077</v>
      </c>
      <c r="K147" s="95">
        <f t="shared" si="34"/>
        <v>0</v>
      </c>
      <c r="L147" s="95">
        <f t="shared" si="34"/>
        <v>45197</v>
      </c>
      <c r="M147" s="95">
        <f t="shared" si="34"/>
        <v>22960</v>
      </c>
      <c r="N147" s="95">
        <f t="shared" si="34"/>
        <v>600401</v>
      </c>
      <c r="O147" s="130">
        <f aca="true" t="shared" si="35" ref="O147:O200">SUM(C147:N147)</f>
        <v>7683237</v>
      </c>
    </row>
    <row r="148" spans="1:15" ht="15">
      <c r="A148" s="53" t="s">
        <v>227</v>
      </c>
      <c r="B148" s="27" t="s">
        <v>108</v>
      </c>
      <c r="C148" s="54">
        <f>2073545+64749+70947</f>
        <v>2209241</v>
      </c>
      <c r="D148" s="20"/>
      <c r="E148" s="20"/>
      <c r="F148" s="54"/>
      <c r="G148" s="20"/>
      <c r="H148" s="20"/>
      <c r="I148" s="20"/>
      <c r="J148" s="20"/>
      <c r="K148" s="20"/>
      <c r="L148" s="20"/>
      <c r="M148" s="20"/>
      <c r="N148" s="54"/>
      <c r="O148" s="130">
        <f t="shared" si="35"/>
        <v>2209241</v>
      </c>
    </row>
    <row r="149" spans="1:15" ht="15">
      <c r="A149" s="53" t="s">
        <v>228</v>
      </c>
      <c r="B149" s="27" t="s">
        <v>229</v>
      </c>
      <c r="C149" s="54">
        <f>1081645+1350+31825</f>
        <v>1114820</v>
      </c>
      <c r="D149" s="20"/>
      <c r="E149" s="20"/>
      <c r="F149" s="54"/>
      <c r="G149" s="20"/>
      <c r="H149" s="20"/>
      <c r="I149" s="20"/>
      <c r="J149" s="20"/>
      <c r="K149" s="20"/>
      <c r="L149" s="20"/>
      <c r="M149" s="20"/>
      <c r="N149" s="54"/>
      <c r="O149" s="130">
        <f t="shared" si="35"/>
        <v>1114820</v>
      </c>
    </row>
    <row r="150" spans="1:15" ht="15">
      <c r="A150" s="53" t="s">
        <v>230</v>
      </c>
      <c r="B150" s="27" t="s">
        <v>109</v>
      </c>
      <c r="C150" s="54">
        <f>1046242+800+31296</f>
        <v>1078338</v>
      </c>
      <c r="D150" s="20"/>
      <c r="E150" s="20"/>
      <c r="F150" s="54"/>
      <c r="G150" s="20"/>
      <c r="H150" s="20"/>
      <c r="I150" s="20"/>
      <c r="J150" s="20"/>
      <c r="K150" s="20"/>
      <c r="L150" s="20"/>
      <c r="M150" s="20"/>
      <c r="N150" s="54"/>
      <c r="O150" s="130">
        <f t="shared" si="35"/>
        <v>1078338</v>
      </c>
    </row>
    <row r="151" spans="1:15" ht="15">
      <c r="A151" s="53" t="s">
        <v>231</v>
      </c>
      <c r="B151" s="27" t="s">
        <v>110</v>
      </c>
      <c r="C151" s="54">
        <f>420256+170+11164</f>
        <v>431590</v>
      </c>
      <c r="D151" s="20"/>
      <c r="E151" s="20"/>
      <c r="F151" s="54"/>
      <c r="G151" s="20"/>
      <c r="H151" s="20"/>
      <c r="I151" s="20"/>
      <c r="J151" s="20"/>
      <c r="K151" s="20"/>
      <c r="L151" s="20"/>
      <c r="M151" s="20"/>
      <c r="N151" s="54"/>
      <c r="O151" s="130">
        <f t="shared" si="35"/>
        <v>431590</v>
      </c>
    </row>
    <row r="152" spans="1:15" ht="15">
      <c r="A152" s="53" t="s">
        <v>232</v>
      </c>
      <c r="B152" s="27" t="s">
        <v>146</v>
      </c>
      <c r="C152" s="54"/>
      <c r="D152" s="20"/>
      <c r="E152" s="20"/>
      <c r="F152" s="54"/>
      <c r="G152" s="20"/>
      <c r="H152" s="20"/>
      <c r="I152" s="20">
        <f>404894+1000+20552-14834</f>
        <v>411612</v>
      </c>
      <c r="J152" s="54"/>
      <c r="K152" s="54"/>
      <c r="L152" s="54"/>
      <c r="M152" s="54"/>
      <c r="N152" s="54"/>
      <c r="O152" s="130">
        <f t="shared" si="35"/>
        <v>411612</v>
      </c>
    </row>
    <row r="153" spans="1:15" ht="15">
      <c r="A153" s="53" t="s">
        <v>233</v>
      </c>
      <c r="B153" s="27" t="s">
        <v>147</v>
      </c>
      <c r="C153" s="54"/>
      <c r="D153" s="20"/>
      <c r="E153" s="20"/>
      <c r="F153" s="54"/>
      <c r="G153" s="20"/>
      <c r="H153" s="20"/>
      <c r="I153" s="20"/>
      <c r="J153" s="20">
        <v>522077</v>
      </c>
      <c r="K153" s="54"/>
      <c r="L153" s="54"/>
      <c r="M153" s="54"/>
      <c r="N153" s="54"/>
      <c r="O153" s="130">
        <f t="shared" si="35"/>
        <v>522077</v>
      </c>
    </row>
    <row r="154" spans="1:15" ht="15">
      <c r="A154" s="53" t="s">
        <v>234</v>
      </c>
      <c r="B154" s="27" t="s">
        <v>258</v>
      </c>
      <c r="C154" s="54"/>
      <c r="D154" s="20"/>
      <c r="E154" s="20"/>
      <c r="F154" s="54"/>
      <c r="G154" s="20"/>
      <c r="H154" s="20"/>
      <c r="I154" s="20"/>
      <c r="J154" s="54"/>
      <c r="K154" s="54"/>
      <c r="L154" s="54">
        <v>45197</v>
      </c>
      <c r="M154" s="226">
        <v>22960</v>
      </c>
      <c r="N154" s="60">
        <v>600401</v>
      </c>
      <c r="O154" s="130">
        <f t="shared" si="35"/>
        <v>668558</v>
      </c>
    </row>
    <row r="155" spans="1:15" ht="15">
      <c r="A155" s="53" t="s">
        <v>235</v>
      </c>
      <c r="B155" s="27" t="s">
        <v>149</v>
      </c>
      <c r="C155" s="54"/>
      <c r="D155" s="20"/>
      <c r="E155" s="20"/>
      <c r="F155" s="54"/>
      <c r="G155" s="237">
        <f>947497+30022</f>
        <v>977519</v>
      </c>
      <c r="H155" s="20"/>
      <c r="I155" s="20"/>
      <c r="J155" s="54"/>
      <c r="K155" s="54"/>
      <c r="L155" s="54"/>
      <c r="M155" s="54"/>
      <c r="N155" s="54"/>
      <c r="O155" s="130">
        <f t="shared" si="35"/>
        <v>977519</v>
      </c>
    </row>
    <row r="156" spans="1:15" ht="31.5" customHeight="1">
      <c r="A156" s="157" t="s">
        <v>469</v>
      </c>
      <c r="B156" s="27" t="s">
        <v>468</v>
      </c>
      <c r="C156" s="133">
        <f>221000+59000-10518</f>
        <v>269482</v>
      </c>
      <c r="D156" s="54"/>
      <c r="E156" s="54"/>
      <c r="F156" s="54"/>
      <c r="G156" s="231"/>
      <c r="H156" s="54"/>
      <c r="I156" s="54"/>
      <c r="J156" s="54"/>
      <c r="K156" s="54"/>
      <c r="L156" s="54"/>
      <c r="M156" s="54"/>
      <c r="N156" s="54"/>
      <c r="O156" s="130">
        <f t="shared" si="35"/>
        <v>269482</v>
      </c>
    </row>
    <row r="157" spans="1:15" ht="15" customHeight="1">
      <c r="A157" s="129" t="s">
        <v>111</v>
      </c>
      <c r="B157" s="92" t="s">
        <v>112</v>
      </c>
      <c r="C157" s="95">
        <f aca="true" t="shared" si="36" ref="C157:N157">SUM(C158:C161)</f>
        <v>2347918</v>
      </c>
      <c r="D157" s="95">
        <f t="shared" si="36"/>
        <v>0</v>
      </c>
      <c r="E157" s="95">
        <f t="shared" si="36"/>
        <v>0</v>
      </c>
      <c r="F157" s="95">
        <f t="shared" si="36"/>
        <v>0</v>
      </c>
      <c r="G157" s="95">
        <f t="shared" si="36"/>
        <v>0</v>
      </c>
      <c r="H157" s="95">
        <f t="shared" si="36"/>
        <v>0</v>
      </c>
      <c r="I157" s="95">
        <f t="shared" si="36"/>
        <v>0</v>
      </c>
      <c r="J157" s="95">
        <f t="shared" si="36"/>
        <v>225826</v>
      </c>
      <c r="K157" s="95">
        <f t="shared" si="36"/>
        <v>0</v>
      </c>
      <c r="L157" s="95">
        <f t="shared" si="36"/>
        <v>0</v>
      </c>
      <c r="M157" s="95">
        <f t="shared" si="36"/>
        <v>0</v>
      </c>
      <c r="N157" s="95">
        <f t="shared" si="36"/>
        <v>0</v>
      </c>
      <c r="O157" s="130">
        <f t="shared" si="35"/>
        <v>2573744</v>
      </c>
    </row>
    <row r="158" spans="1:15" ht="15">
      <c r="A158" s="53" t="s">
        <v>236</v>
      </c>
      <c r="B158" s="27" t="s">
        <v>8</v>
      </c>
      <c r="C158" s="54">
        <f>701850+28871+5700</f>
        <v>736421</v>
      </c>
      <c r="D158" s="20"/>
      <c r="E158" s="20"/>
      <c r="F158" s="54"/>
      <c r="G158" s="20"/>
      <c r="H158" s="20"/>
      <c r="I158" s="20"/>
      <c r="J158" s="20"/>
      <c r="K158" s="20"/>
      <c r="L158" s="20"/>
      <c r="M158" s="20"/>
      <c r="N158" s="54"/>
      <c r="O158" s="130">
        <f t="shared" si="35"/>
        <v>736421</v>
      </c>
    </row>
    <row r="159" spans="1:15" ht="15">
      <c r="A159" s="53" t="s">
        <v>237</v>
      </c>
      <c r="B159" s="27" t="s">
        <v>120</v>
      </c>
      <c r="C159" s="54">
        <f>311374+2973</f>
        <v>314347</v>
      </c>
      <c r="D159" s="20"/>
      <c r="E159" s="20"/>
      <c r="F159" s="54"/>
      <c r="G159" s="20"/>
      <c r="H159" s="20"/>
      <c r="I159" s="20"/>
      <c r="J159" s="20"/>
      <c r="K159" s="20"/>
      <c r="L159" s="20"/>
      <c r="M159" s="20"/>
      <c r="N159" s="54"/>
      <c r="O159" s="130">
        <f t="shared" si="35"/>
        <v>314347</v>
      </c>
    </row>
    <row r="160" spans="1:15" ht="15">
      <c r="A160" s="53" t="s">
        <v>238</v>
      </c>
      <c r="B160" s="27" t="s">
        <v>150</v>
      </c>
      <c r="C160" s="20"/>
      <c r="D160" s="20"/>
      <c r="E160" s="20"/>
      <c r="F160" s="54"/>
      <c r="G160" s="20"/>
      <c r="H160" s="20"/>
      <c r="I160" s="20"/>
      <c r="J160" s="3">
        <v>225826</v>
      </c>
      <c r="K160" s="20"/>
      <c r="L160" s="20"/>
      <c r="M160" s="20"/>
      <c r="N160" s="54"/>
      <c r="O160" s="130">
        <f t="shared" si="35"/>
        <v>225826</v>
      </c>
    </row>
    <row r="161" spans="1:15" ht="15">
      <c r="A161" s="53" t="s">
        <v>429</v>
      </c>
      <c r="B161" s="27" t="s">
        <v>430</v>
      </c>
      <c r="C161" s="20">
        <f>1279372+17778</f>
        <v>1297150</v>
      </c>
      <c r="D161" s="20"/>
      <c r="E161" s="20"/>
      <c r="F161" s="54"/>
      <c r="G161" s="20"/>
      <c r="H161" s="20"/>
      <c r="I161" s="20"/>
      <c r="J161" s="3"/>
      <c r="K161" s="20"/>
      <c r="L161" s="20"/>
      <c r="M161" s="20"/>
      <c r="N161" s="54"/>
      <c r="O161" s="130">
        <f t="shared" si="35"/>
        <v>1297150</v>
      </c>
    </row>
    <row r="162" spans="1:15" ht="15">
      <c r="A162" s="148" t="s">
        <v>151</v>
      </c>
      <c r="B162" s="92" t="s">
        <v>152</v>
      </c>
      <c r="C162" s="36">
        <f>SUM(C163:C165)</f>
        <v>437232</v>
      </c>
      <c r="D162" s="20">
        <f aca="true" t="shared" si="37" ref="D162:M162">SUM(D163:D165)</f>
        <v>0</v>
      </c>
      <c r="E162" s="20">
        <f t="shared" si="37"/>
        <v>0</v>
      </c>
      <c r="F162" s="20">
        <f t="shared" si="37"/>
        <v>0</v>
      </c>
      <c r="G162" s="20">
        <f t="shared" si="37"/>
        <v>120426</v>
      </c>
      <c r="H162" s="20">
        <f t="shared" si="37"/>
        <v>0</v>
      </c>
      <c r="I162" s="20">
        <f t="shared" si="37"/>
        <v>0</v>
      </c>
      <c r="J162" s="20">
        <f t="shared" si="37"/>
        <v>94987</v>
      </c>
      <c r="K162" s="20">
        <f t="shared" si="37"/>
        <v>0</v>
      </c>
      <c r="L162" s="20">
        <f t="shared" si="37"/>
        <v>0</v>
      </c>
      <c r="M162" s="20">
        <f t="shared" si="37"/>
        <v>0</v>
      </c>
      <c r="N162" s="20">
        <f>SUM(N163:N165)</f>
        <v>0</v>
      </c>
      <c r="O162" s="130">
        <f t="shared" si="35"/>
        <v>652645</v>
      </c>
    </row>
    <row r="163" spans="1:15" ht="15">
      <c r="A163" s="53" t="s">
        <v>316</v>
      </c>
      <c r="B163" s="27" t="s">
        <v>312</v>
      </c>
      <c r="C163" s="54">
        <f>50000</f>
        <v>50000</v>
      </c>
      <c r="D163" s="54"/>
      <c r="E163" s="54"/>
      <c r="F163" s="54"/>
      <c r="G163" s="20">
        <v>120426</v>
      </c>
      <c r="H163" s="20"/>
      <c r="I163" s="20"/>
      <c r="J163" s="54">
        <v>90068</v>
      </c>
      <c r="K163" s="54"/>
      <c r="L163" s="54"/>
      <c r="M163" s="54"/>
      <c r="N163" s="54"/>
      <c r="O163" s="130">
        <f t="shared" si="35"/>
        <v>260494</v>
      </c>
    </row>
    <row r="164" spans="1:15" ht="15">
      <c r="A164" s="157" t="s">
        <v>425</v>
      </c>
      <c r="B164" s="27" t="s">
        <v>426</v>
      </c>
      <c r="C164" s="54">
        <v>302232</v>
      </c>
      <c r="D164" s="54"/>
      <c r="E164" s="54"/>
      <c r="F164" s="54"/>
      <c r="G164" s="20"/>
      <c r="H164" s="20"/>
      <c r="I164" s="20"/>
      <c r="J164" s="54"/>
      <c r="K164" s="54"/>
      <c r="L164" s="54"/>
      <c r="M164" s="54"/>
      <c r="N164" s="54"/>
      <c r="O164" s="130">
        <f t="shared" si="35"/>
        <v>302232</v>
      </c>
    </row>
    <row r="165" spans="1:15" ht="15">
      <c r="A165" s="53" t="s">
        <v>317</v>
      </c>
      <c r="B165" s="27" t="s">
        <v>313</v>
      </c>
      <c r="C165" s="54">
        <v>85000</v>
      </c>
      <c r="D165" s="54"/>
      <c r="E165" s="54"/>
      <c r="F165" s="54"/>
      <c r="G165" s="20"/>
      <c r="H165" s="20"/>
      <c r="I165" s="20"/>
      <c r="J165" s="54">
        <v>4919</v>
      </c>
      <c r="K165" s="54"/>
      <c r="L165" s="54"/>
      <c r="M165" s="54"/>
      <c r="N165" s="54"/>
      <c r="O165" s="130">
        <f t="shared" si="35"/>
        <v>89919</v>
      </c>
    </row>
    <row r="166" spans="1:15" ht="21.75" customHeight="1">
      <c r="A166" s="129" t="s">
        <v>417</v>
      </c>
      <c r="B166" s="92" t="s">
        <v>418</v>
      </c>
      <c r="C166" s="95">
        <f>283758-5450</f>
        <v>278308</v>
      </c>
      <c r="D166" s="95"/>
      <c r="E166" s="95"/>
      <c r="F166" s="95"/>
      <c r="G166" s="36"/>
      <c r="H166" s="36"/>
      <c r="I166" s="36"/>
      <c r="J166" s="95"/>
      <c r="K166" s="95"/>
      <c r="L166" s="95"/>
      <c r="M166" s="95"/>
      <c r="N166" s="95"/>
      <c r="O166" s="130">
        <f t="shared" si="35"/>
        <v>278308</v>
      </c>
    </row>
    <row r="167" spans="1:15" ht="30.75" customHeight="1" thickBot="1">
      <c r="A167" s="176" t="s">
        <v>113</v>
      </c>
      <c r="B167" s="177" t="s">
        <v>239</v>
      </c>
      <c r="C167" s="178">
        <f aca="true" t="shared" si="38" ref="C167:N167">SUM(C168:C196)</f>
        <v>12942215</v>
      </c>
      <c r="D167" s="178">
        <f t="shared" si="38"/>
        <v>0</v>
      </c>
      <c r="E167" s="178">
        <f t="shared" si="38"/>
        <v>0</v>
      </c>
      <c r="F167" s="178">
        <f t="shared" si="38"/>
        <v>0</v>
      </c>
      <c r="G167" s="178">
        <f t="shared" si="38"/>
        <v>28147</v>
      </c>
      <c r="H167" s="178">
        <f t="shared" si="38"/>
        <v>0</v>
      </c>
      <c r="I167" s="178">
        <f t="shared" si="38"/>
        <v>21331</v>
      </c>
      <c r="J167" s="178">
        <f t="shared" si="38"/>
        <v>15003</v>
      </c>
      <c r="K167" s="178">
        <f t="shared" si="38"/>
        <v>43934</v>
      </c>
      <c r="L167" s="178">
        <f t="shared" si="38"/>
        <v>19935</v>
      </c>
      <c r="M167" s="178">
        <f t="shared" si="38"/>
        <v>15093</v>
      </c>
      <c r="N167" s="178">
        <f t="shared" si="38"/>
        <v>18345</v>
      </c>
      <c r="O167" s="179">
        <f>SUM(C167:N167)</f>
        <v>13104003</v>
      </c>
    </row>
    <row r="168" spans="1:15" ht="30.75" customHeight="1">
      <c r="A168" s="152" t="s">
        <v>314</v>
      </c>
      <c r="B168" s="38" t="s">
        <v>315</v>
      </c>
      <c r="C168" s="82">
        <v>41843</v>
      </c>
      <c r="D168" s="151"/>
      <c r="E168" s="151"/>
      <c r="F168" s="151"/>
      <c r="G168" s="174"/>
      <c r="H168" s="174"/>
      <c r="I168" s="174"/>
      <c r="J168" s="151"/>
      <c r="K168" s="151"/>
      <c r="L168" s="151"/>
      <c r="M168" s="151"/>
      <c r="N168" s="180"/>
      <c r="O168" s="130">
        <f t="shared" si="35"/>
        <v>41843</v>
      </c>
    </row>
    <row r="169" spans="1:15" ht="30.75" customHeight="1">
      <c r="A169" s="181" t="s">
        <v>337</v>
      </c>
      <c r="B169" s="182" t="s">
        <v>338</v>
      </c>
      <c r="C169" s="20">
        <f>119646+135640</f>
        <v>255286</v>
      </c>
      <c r="D169" s="36"/>
      <c r="E169" s="36"/>
      <c r="F169" s="36"/>
      <c r="G169" s="36"/>
      <c r="H169" s="36"/>
      <c r="I169" s="36"/>
      <c r="J169" s="36">
        <v>577</v>
      </c>
      <c r="K169" s="36"/>
      <c r="L169" s="36"/>
      <c r="M169" s="36"/>
      <c r="N169" s="144"/>
      <c r="O169" s="130">
        <f t="shared" si="35"/>
        <v>255863</v>
      </c>
    </row>
    <row r="170" spans="1:15" ht="15.75">
      <c r="A170" s="181" t="s">
        <v>366</v>
      </c>
      <c r="B170" s="183" t="s">
        <v>367</v>
      </c>
      <c r="C170" s="20">
        <v>55692</v>
      </c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144"/>
      <c r="O170" s="130">
        <f t="shared" si="35"/>
        <v>55692</v>
      </c>
    </row>
    <row r="171" spans="1:15" ht="30.75" customHeight="1">
      <c r="A171" s="181" t="s">
        <v>368</v>
      </c>
      <c r="B171" s="183" t="s">
        <v>369</v>
      </c>
      <c r="C171" s="20">
        <f>11490-7567</f>
        <v>3923</v>
      </c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144"/>
      <c r="O171" s="130">
        <f t="shared" si="35"/>
        <v>3923</v>
      </c>
    </row>
    <row r="172" spans="1:15" ht="30.75" customHeight="1">
      <c r="A172" s="181" t="s">
        <v>370</v>
      </c>
      <c r="B172" s="184" t="s">
        <v>371</v>
      </c>
      <c r="C172" s="20">
        <v>7892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144"/>
      <c r="O172" s="130">
        <f t="shared" si="35"/>
        <v>7892</v>
      </c>
    </row>
    <row r="173" spans="1:15" ht="15">
      <c r="A173" s="152" t="s">
        <v>240</v>
      </c>
      <c r="B173" s="7" t="s">
        <v>419</v>
      </c>
      <c r="C173" s="54"/>
      <c r="D173" s="20"/>
      <c r="E173" s="20"/>
      <c r="F173" s="54"/>
      <c r="G173" s="20">
        <v>28147</v>
      </c>
      <c r="H173" s="20"/>
      <c r="I173" s="20">
        <v>21331</v>
      </c>
      <c r="J173" s="20"/>
      <c r="K173" s="20">
        <v>43934</v>
      </c>
      <c r="L173" s="20">
        <v>19935</v>
      </c>
      <c r="M173" s="20"/>
      <c r="N173" s="54"/>
      <c r="O173" s="130">
        <f t="shared" si="35"/>
        <v>113347</v>
      </c>
    </row>
    <row r="174" spans="1:15" ht="15">
      <c r="A174" s="152" t="s">
        <v>241</v>
      </c>
      <c r="B174" s="25" t="s">
        <v>286</v>
      </c>
      <c r="C174" s="82"/>
      <c r="D174" s="20"/>
      <c r="E174" s="20"/>
      <c r="F174" s="54"/>
      <c r="G174" s="20"/>
      <c r="H174" s="20"/>
      <c r="I174" s="20"/>
      <c r="J174" s="20">
        <v>13526</v>
      </c>
      <c r="K174" s="20"/>
      <c r="L174" s="20"/>
      <c r="M174" s="20">
        <v>15093</v>
      </c>
      <c r="N174" s="60">
        <v>18345</v>
      </c>
      <c r="O174" s="130">
        <f t="shared" si="35"/>
        <v>46964</v>
      </c>
    </row>
    <row r="175" spans="1:15" ht="47.25">
      <c r="A175" s="181" t="s">
        <v>372</v>
      </c>
      <c r="B175" s="185" t="s">
        <v>373</v>
      </c>
      <c r="C175" s="54">
        <v>11709</v>
      </c>
      <c r="D175" s="20"/>
      <c r="E175" s="20"/>
      <c r="F175" s="54"/>
      <c r="G175" s="20"/>
      <c r="H175" s="20"/>
      <c r="I175" s="20"/>
      <c r="J175" s="20"/>
      <c r="K175" s="20"/>
      <c r="L175" s="20"/>
      <c r="M175" s="20"/>
      <c r="N175" s="54"/>
      <c r="O175" s="130">
        <f t="shared" si="35"/>
        <v>11709</v>
      </c>
    </row>
    <row r="176" spans="1:15" ht="47.25">
      <c r="A176" s="181" t="s">
        <v>374</v>
      </c>
      <c r="B176" s="183" t="s">
        <v>375</v>
      </c>
      <c r="C176" s="54">
        <v>8234</v>
      </c>
      <c r="D176" s="20"/>
      <c r="E176" s="20"/>
      <c r="F176" s="54"/>
      <c r="G176" s="20"/>
      <c r="H176" s="20"/>
      <c r="I176" s="20"/>
      <c r="J176" s="20"/>
      <c r="K176" s="20"/>
      <c r="L176" s="20"/>
      <c r="M176" s="20"/>
      <c r="N176" s="54"/>
      <c r="O176" s="130">
        <f t="shared" si="35"/>
        <v>8234</v>
      </c>
    </row>
    <row r="177" spans="1:15" ht="60">
      <c r="A177" s="181" t="s">
        <v>382</v>
      </c>
      <c r="B177" s="156" t="s">
        <v>381</v>
      </c>
      <c r="C177" s="54">
        <v>5538</v>
      </c>
      <c r="D177" s="20"/>
      <c r="E177" s="20"/>
      <c r="F177" s="54"/>
      <c r="G177" s="20"/>
      <c r="H177" s="20"/>
      <c r="I177" s="20"/>
      <c r="J177" s="20"/>
      <c r="K177" s="20"/>
      <c r="L177" s="20"/>
      <c r="M177" s="20"/>
      <c r="N177" s="54"/>
      <c r="O177" s="130">
        <f t="shared" si="35"/>
        <v>5538</v>
      </c>
    </row>
    <row r="178" spans="1:15" ht="30">
      <c r="A178" s="53" t="s">
        <v>273</v>
      </c>
      <c r="B178" s="156" t="s">
        <v>420</v>
      </c>
      <c r="C178" s="54">
        <v>11628587</v>
      </c>
      <c r="D178" s="20"/>
      <c r="E178" s="20"/>
      <c r="F178" s="54"/>
      <c r="G178" s="20"/>
      <c r="H178" s="20"/>
      <c r="I178" s="20"/>
      <c r="J178" s="20"/>
      <c r="K178" s="20"/>
      <c r="L178" s="20"/>
      <c r="M178" s="20"/>
      <c r="N178" s="54"/>
      <c r="O178" s="130">
        <f t="shared" si="35"/>
        <v>11628587</v>
      </c>
    </row>
    <row r="179" spans="1:15" ht="28.5" customHeight="1">
      <c r="A179" s="152" t="s">
        <v>279</v>
      </c>
      <c r="B179" s="186" t="s">
        <v>376</v>
      </c>
      <c r="C179" s="54">
        <v>5249</v>
      </c>
      <c r="D179" s="20"/>
      <c r="E179" s="20"/>
      <c r="F179" s="54"/>
      <c r="G179" s="20"/>
      <c r="H179" s="20"/>
      <c r="I179" s="20"/>
      <c r="J179" s="20"/>
      <c r="K179" s="20"/>
      <c r="L179" s="20"/>
      <c r="M179" s="20"/>
      <c r="N179" s="54"/>
      <c r="O179" s="130">
        <f t="shared" si="35"/>
        <v>5249</v>
      </c>
    </row>
    <row r="180" spans="1:15" ht="30">
      <c r="A180" s="22" t="s">
        <v>321</v>
      </c>
      <c r="B180" s="187" t="s">
        <v>320</v>
      </c>
      <c r="C180" s="54">
        <v>77720</v>
      </c>
      <c r="D180" s="54"/>
      <c r="E180" s="54"/>
      <c r="F180" s="54"/>
      <c r="G180" s="20"/>
      <c r="H180" s="67"/>
      <c r="I180" s="67"/>
      <c r="J180" s="67"/>
      <c r="K180" s="67"/>
      <c r="L180" s="67"/>
      <c r="M180" s="67"/>
      <c r="N180" s="71"/>
      <c r="O180" s="130">
        <f t="shared" si="35"/>
        <v>77720</v>
      </c>
    </row>
    <row r="181" spans="1:15" ht="45" customHeight="1">
      <c r="A181" s="188" t="s">
        <v>339</v>
      </c>
      <c r="B181" s="182" t="s">
        <v>340</v>
      </c>
      <c r="C181" s="20">
        <v>3656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54"/>
      <c r="O181" s="130">
        <f t="shared" si="35"/>
        <v>3656</v>
      </c>
    </row>
    <row r="182" spans="1:15" ht="47.25" customHeight="1">
      <c r="A182" s="188" t="s">
        <v>377</v>
      </c>
      <c r="B182" s="183" t="s">
        <v>378</v>
      </c>
      <c r="C182" s="54">
        <v>4538</v>
      </c>
      <c r="D182" s="54"/>
      <c r="E182" s="54"/>
      <c r="F182" s="54"/>
      <c r="G182" s="20"/>
      <c r="H182" s="54"/>
      <c r="I182" s="54"/>
      <c r="J182" s="54"/>
      <c r="K182" s="54"/>
      <c r="L182" s="54"/>
      <c r="M182" s="54"/>
      <c r="N182" s="96"/>
      <c r="O182" s="130">
        <f t="shared" si="35"/>
        <v>4538</v>
      </c>
    </row>
    <row r="183" spans="1:15" ht="47.25" customHeight="1">
      <c r="A183" s="188" t="s">
        <v>433</v>
      </c>
      <c r="B183" s="233" t="s">
        <v>432</v>
      </c>
      <c r="C183" s="20">
        <v>4281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82"/>
      <c r="O183" s="130">
        <f t="shared" si="35"/>
        <v>4281</v>
      </c>
    </row>
    <row r="184" spans="1:15" ht="47.25" customHeight="1">
      <c r="A184" s="188" t="s">
        <v>435</v>
      </c>
      <c r="B184" s="234" t="s">
        <v>434</v>
      </c>
      <c r="C184" s="20">
        <v>11155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96"/>
      <c r="O184" s="130">
        <f t="shared" si="35"/>
        <v>11155</v>
      </c>
    </row>
    <row r="185" spans="1:15" ht="47.25" customHeight="1">
      <c r="A185" s="188" t="s">
        <v>437</v>
      </c>
      <c r="B185" s="234" t="s">
        <v>436</v>
      </c>
      <c r="C185" s="20">
        <v>21664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82"/>
      <c r="O185" s="130">
        <f t="shared" si="35"/>
        <v>21664</v>
      </c>
    </row>
    <row r="186" spans="1:15" ht="47.25" customHeight="1">
      <c r="A186" s="188" t="s">
        <v>439</v>
      </c>
      <c r="B186" s="234" t="s">
        <v>438</v>
      </c>
      <c r="C186" s="20">
        <v>22954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96"/>
      <c r="O186" s="130">
        <f t="shared" si="35"/>
        <v>22954</v>
      </c>
    </row>
    <row r="187" spans="1:15" ht="47.25" customHeight="1">
      <c r="A187" s="188" t="s">
        <v>443</v>
      </c>
      <c r="B187" s="234" t="s">
        <v>442</v>
      </c>
      <c r="C187" s="20">
        <v>21617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82"/>
      <c r="O187" s="130">
        <f t="shared" si="35"/>
        <v>21617</v>
      </c>
    </row>
    <row r="188" spans="1:15" ht="47.25" customHeight="1">
      <c r="A188" s="188" t="s">
        <v>441</v>
      </c>
      <c r="B188" s="234" t="s">
        <v>440</v>
      </c>
      <c r="C188" s="20">
        <v>26560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96"/>
      <c r="O188" s="130">
        <f t="shared" si="35"/>
        <v>26560</v>
      </c>
    </row>
    <row r="189" spans="1:15" ht="30">
      <c r="A189" s="188" t="s">
        <v>445</v>
      </c>
      <c r="B189" s="234" t="s">
        <v>444</v>
      </c>
      <c r="C189" s="20">
        <v>16368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82"/>
      <c r="O189" s="130">
        <f t="shared" si="35"/>
        <v>16368</v>
      </c>
    </row>
    <row r="190" spans="1:15" ht="47.25" customHeight="1">
      <c r="A190" s="229" t="s">
        <v>447</v>
      </c>
      <c r="B190" s="183" t="s">
        <v>446</v>
      </c>
      <c r="C190" s="20"/>
      <c r="D190" s="20"/>
      <c r="E190" s="20"/>
      <c r="F190" s="20"/>
      <c r="G190" s="20"/>
      <c r="H190" s="20"/>
      <c r="I190" s="20"/>
      <c r="J190" s="20">
        <v>900</v>
      </c>
      <c r="K190" s="20"/>
      <c r="L190" s="20"/>
      <c r="M190" s="20"/>
      <c r="N190" s="96"/>
      <c r="O190" s="130">
        <f t="shared" si="35"/>
        <v>900</v>
      </c>
    </row>
    <row r="191" spans="1:15" ht="47.25" customHeight="1">
      <c r="A191" s="229" t="s">
        <v>471</v>
      </c>
      <c r="B191" s="235" t="s">
        <v>470</v>
      </c>
      <c r="C191" s="54">
        <v>1253</v>
      </c>
      <c r="D191" s="54"/>
      <c r="E191" s="54"/>
      <c r="F191" s="54"/>
      <c r="G191" s="20"/>
      <c r="H191" s="54"/>
      <c r="I191" s="54"/>
      <c r="J191" s="54"/>
      <c r="K191" s="54"/>
      <c r="L191" s="54"/>
      <c r="M191" s="54"/>
      <c r="N191" s="96"/>
      <c r="O191" s="130">
        <f t="shared" si="35"/>
        <v>1253</v>
      </c>
    </row>
    <row r="192" spans="1:15" ht="30">
      <c r="A192" s="229" t="s">
        <v>474</v>
      </c>
      <c r="B192" s="30" t="s">
        <v>475</v>
      </c>
      <c r="C192" s="54">
        <f>465736+4020</f>
        <v>469756</v>
      </c>
      <c r="D192" s="54"/>
      <c r="E192" s="54"/>
      <c r="F192" s="54"/>
      <c r="G192" s="20"/>
      <c r="H192" s="54"/>
      <c r="I192" s="54"/>
      <c r="J192" s="54"/>
      <c r="K192" s="54"/>
      <c r="L192" s="54"/>
      <c r="M192" s="54"/>
      <c r="N192" s="96"/>
      <c r="O192" s="130">
        <f t="shared" si="35"/>
        <v>469756</v>
      </c>
    </row>
    <row r="193" spans="1:15" ht="45">
      <c r="A193" s="229" t="s">
        <v>523</v>
      </c>
      <c r="B193" s="30" t="s">
        <v>524</v>
      </c>
      <c r="C193" s="54">
        <v>20026</v>
      </c>
      <c r="D193" s="54"/>
      <c r="E193" s="54"/>
      <c r="F193" s="54"/>
      <c r="G193" s="20"/>
      <c r="H193" s="54"/>
      <c r="I193" s="54"/>
      <c r="J193" s="54"/>
      <c r="K193" s="54"/>
      <c r="L193" s="54"/>
      <c r="M193" s="54"/>
      <c r="N193" s="96"/>
      <c r="O193" s="130">
        <f t="shared" si="35"/>
        <v>20026</v>
      </c>
    </row>
    <row r="194" spans="1:15" ht="45">
      <c r="A194" s="229" t="s">
        <v>525</v>
      </c>
      <c r="B194" s="30" t="s">
        <v>526</v>
      </c>
      <c r="C194" s="54">
        <v>26222</v>
      </c>
      <c r="D194" s="54"/>
      <c r="E194" s="54"/>
      <c r="F194" s="54"/>
      <c r="G194" s="20"/>
      <c r="H194" s="54"/>
      <c r="I194" s="54"/>
      <c r="J194" s="54"/>
      <c r="K194" s="54"/>
      <c r="L194" s="54"/>
      <c r="M194" s="54"/>
      <c r="N194" s="96"/>
      <c r="O194" s="130">
        <f>SUM(C194:N194)</f>
        <v>26222</v>
      </c>
    </row>
    <row r="195" spans="1:15" ht="30">
      <c r="A195" s="229" t="s">
        <v>534</v>
      </c>
      <c r="B195" s="30" t="s">
        <v>538</v>
      </c>
      <c r="C195" s="54">
        <v>91600</v>
      </c>
      <c r="D195" s="54"/>
      <c r="E195" s="54"/>
      <c r="F195" s="54"/>
      <c r="G195" s="20"/>
      <c r="H195" s="54"/>
      <c r="I195" s="54"/>
      <c r="J195" s="54"/>
      <c r="K195" s="54"/>
      <c r="L195" s="54"/>
      <c r="M195" s="54"/>
      <c r="N195" s="96"/>
      <c r="O195" s="130">
        <f t="shared" si="35"/>
        <v>91600</v>
      </c>
    </row>
    <row r="196" spans="1:15" ht="30.75" thickBot="1">
      <c r="A196" s="229" t="s">
        <v>535</v>
      </c>
      <c r="B196" s="31" t="s">
        <v>539</v>
      </c>
      <c r="C196" s="82">
        <v>98892</v>
      </c>
      <c r="D196" s="82"/>
      <c r="E196" s="82"/>
      <c r="F196" s="82"/>
      <c r="G196" s="81"/>
      <c r="H196" s="82"/>
      <c r="I196" s="82"/>
      <c r="J196" s="82"/>
      <c r="K196" s="82"/>
      <c r="L196" s="82"/>
      <c r="M196" s="82"/>
      <c r="N196" s="82"/>
      <c r="O196" s="130">
        <f t="shared" si="35"/>
        <v>98892</v>
      </c>
    </row>
    <row r="197" spans="1:15" ht="15.75" thickBot="1">
      <c r="A197" s="83" t="s">
        <v>7</v>
      </c>
      <c r="B197" s="45" t="s">
        <v>114</v>
      </c>
      <c r="C197" s="47">
        <f>SUM(C198+C199+C200+C201)</f>
        <v>4579545</v>
      </c>
      <c r="D197" s="47">
        <f aca="true" t="shared" si="39" ref="D197:M197">SUM(D198+D199+D200+D201)</f>
        <v>55453</v>
      </c>
      <c r="E197" s="47">
        <f t="shared" si="39"/>
        <v>0</v>
      </c>
      <c r="F197" s="47">
        <f t="shared" si="39"/>
        <v>0</v>
      </c>
      <c r="G197" s="46">
        <f t="shared" si="39"/>
        <v>3970</v>
      </c>
      <c r="H197" s="47">
        <f t="shared" si="39"/>
        <v>4390</v>
      </c>
      <c r="I197" s="47">
        <f t="shared" si="39"/>
        <v>3040</v>
      </c>
      <c r="J197" s="47">
        <f t="shared" si="39"/>
        <v>640144</v>
      </c>
      <c r="K197" s="47">
        <f t="shared" si="39"/>
        <v>2936</v>
      </c>
      <c r="L197" s="47">
        <f t="shared" si="39"/>
        <v>2400</v>
      </c>
      <c r="M197" s="47">
        <f t="shared" si="39"/>
        <v>5450</v>
      </c>
      <c r="N197" s="47">
        <f>SUM(N198+N199+N200+N201)</f>
        <v>2440</v>
      </c>
      <c r="O197" s="48">
        <f t="shared" si="35"/>
        <v>5299768</v>
      </c>
    </row>
    <row r="198" spans="1:15" ht="16.5" customHeight="1">
      <c r="A198" s="129" t="s">
        <v>421</v>
      </c>
      <c r="B198" s="189" t="s">
        <v>172</v>
      </c>
      <c r="C198" s="190">
        <f>166180-166</f>
        <v>166014</v>
      </c>
      <c r="D198" s="37"/>
      <c r="E198" s="37"/>
      <c r="F198" s="190"/>
      <c r="G198" s="37">
        <v>850</v>
      </c>
      <c r="H198" s="37"/>
      <c r="I198" s="37"/>
      <c r="J198" s="37">
        <v>166</v>
      </c>
      <c r="K198" s="37"/>
      <c r="L198" s="37"/>
      <c r="M198" s="37"/>
      <c r="N198" s="180"/>
      <c r="O198" s="127">
        <f t="shared" si="35"/>
        <v>167030</v>
      </c>
    </row>
    <row r="199" spans="1:15" ht="15">
      <c r="A199" s="122" t="s">
        <v>422</v>
      </c>
      <c r="B199" s="123" t="s">
        <v>153</v>
      </c>
      <c r="C199" s="165">
        <f>14050+16115</f>
        <v>30165</v>
      </c>
      <c r="D199" s="124"/>
      <c r="E199" s="124"/>
      <c r="F199" s="124"/>
      <c r="G199" s="90">
        <v>2390</v>
      </c>
      <c r="H199" s="90">
        <v>2390</v>
      </c>
      <c r="I199" s="90">
        <v>2390</v>
      </c>
      <c r="J199" s="90">
        <v>2390</v>
      </c>
      <c r="K199" s="191">
        <v>2400</v>
      </c>
      <c r="L199" s="191">
        <v>2400</v>
      </c>
      <c r="M199" s="124">
        <v>2400</v>
      </c>
      <c r="N199" s="124">
        <v>2390</v>
      </c>
      <c r="O199" s="72">
        <f t="shared" si="35"/>
        <v>49315</v>
      </c>
    </row>
    <row r="200" spans="1:15" ht="15">
      <c r="A200" s="122" t="s">
        <v>115</v>
      </c>
      <c r="B200" s="123" t="s">
        <v>116</v>
      </c>
      <c r="C200" s="124"/>
      <c r="D200" s="51"/>
      <c r="E200" s="51"/>
      <c r="F200" s="28"/>
      <c r="G200" s="51"/>
      <c r="H200" s="51"/>
      <c r="I200" s="51"/>
      <c r="J200" s="51"/>
      <c r="K200" s="51"/>
      <c r="L200" s="51"/>
      <c r="M200" s="51"/>
      <c r="N200" s="28"/>
      <c r="O200" s="130">
        <f t="shared" si="35"/>
        <v>0</v>
      </c>
    </row>
    <row r="201" spans="1:15" ht="29.25">
      <c r="A201" s="129" t="s">
        <v>117</v>
      </c>
      <c r="B201" s="92" t="s">
        <v>118</v>
      </c>
      <c r="C201" s="95">
        <f aca="true" t="shared" si="40" ref="C201:N201">SUM(C202:C211)</f>
        <v>4383366</v>
      </c>
      <c r="D201" s="95">
        <f t="shared" si="40"/>
        <v>55453</v>
      </c>
      <c r="E201" s="95">
        <f t="shared" si="40"/>
        <v>0</v>
      </c>
      <c r="F201" s="95">
        <f t="shared" si="40"/>
        <v>0</v>
      </c>
      <c r="G201" s="36">
        <f t="shared" si="40"/>
        <v>730</v>
      </c>
      <c r="H201" s="95">
        <f t="shared" si="40"/>
        <v>2000</v>
      </c>
      <c r="I201" s="95">
        <f t="shared" si="40"/>
        <v>650</v>
      </c>
      <c r="J201" s="95">
        <f t="shared" si="40"/>
        <v>637588</v>
      </c>
      <c r="K201" s="95">
        <f t="shared" si="40"/>
        <v>536</v>
      </c>
      <c r="L201" s="95">
        <f t="shared" si="40"/>
        <v>0</v>
      </c>
      <c r="M201" s="95">
        <f t="shared" si="40"/>
        <v>3050</v>
      </c>
      <c r="N201" s="95">
        <f t="shared" si="40"/>
        <v>50</v>
      </c>
      <c r="O201" s="130">
        <f>SUM(C201:N201)</f>
        <v>5083423</v>
      </c>
    </row>
    <row r="202" spans="1:16" ht="15">
      <c r="A202" s="53" t="s">
        <v>242</v>
      </c>
      <c r="B202" s="27" t="s">
        <v>119</v>
      </c>
      <c r="C202" s="54">
        <f>1018029+6049</f>
        <v>1024078</v>
      </c>
      <c r="D202" s="20">
        <v>55453</v>
      </c>
      <c r="E202" s="20"/>
      <c r="F202" s="54"/>
      <c r="G202" s="226">
        <v>730</v>
      </c>
      <c r="H202" s="20"/>
      <c r="I202" s="20">
        <v>100</v>
      </c>
      <c r="J202" s="20">
        <v>1783</v>
      </c>
      <c r="K202" s="20">
        <v>536</v>
      </c>
      <c r="L202" s="20"/>
      <c r="M202" s="226">
        <v>3050</v>
      </c>
      <c r="N202" s="60">
        <v>50</v>
      </c>
      <c r="O202" s="130">
        <f aca="true" t="shared" si="41" ref="O202:O215">SUM(C202:N202)</f>
        <v>1085780</v>
      </c>
      <c r="P202" s="33"/>
    </row>
    <row r="203" spans="1:16" ht="15">
      <c r="A203" s="53" t="s">
        <v>243</v>
      </c>
      <c r="B203" s="27" t="s">
        <v>17</v>
      </c>
      <c r="C203" s="54">
        <f>1319314-9000</f>
        <v>1310314</v>
      </c>
      <c r="D203" s="20"/>
      <c r="E203" s="20"/>
      <c r="F203" s="54"/>
      <c r="G203" s="226"/>
      <c r="H203" s="20">
        <v>2000</v>
      </c>
      <c r="I203" s="20"/>
      <c r="J203" s="20"/>
      <c r="K203" s="241"/>
      <c r="L203" s="20"/>
      <c r="M203" s="226"/>
      <c r="N203" s="60"/>
      <c r="O203" s="130">
        <f t="shared" si="41"/>
        <v>1312314</v>
      </c>
      <c r="P203" s="33"/>
    </row>
    <row r="204" spans="1:15" ht="15">
      <c r="A204" s="53" t="s">
        <v>287</v>
      </c>
      <c r="B204" s="27" t="s">
        <v>288</v>
      </c>
      <c r="C204" s="54">
        <v>264647</v>
      </c>
      <c r="D204" s="20"/>
      <c r="E204" s="20"/>
      <c r="F204" s="54"/>
      <c r="G204" s="20"/>
      <c r="H204" s="20"/>
      <c r="I204" s="20"/>
      <c r="J204" s="20"/>
      <c r="K204" s="20"/>
      <c r="L204" s="20"/>
      <c r="M204" s="20"/>
      <c r="N204" s="54"/>
      <c r="O204" s="130">
        <f t="shared" si="41"/>
        <v>264647</v>
      </c>
    </row>
    <row r="205" spans="1:15" ht="15">
      <c r="A205" s="53" t="s">
        <v>244</v>
      </c>
      <c r="B205" s="27" t="s">
        <v>155</v>
      </c>
      <c r="C205" s="54"/>
      <c r="D205" s="20"/>
      <c r="E205" s="20"/>
      <c r="F205" s="54"/>
      <c r="G205" s="20"/>
      <c r="H205" s="20"/>
      <c r="I205" s="20"/>
      <c r="J205" s="20">
        <v>633235</v>
      </c>
      <c r="K205" s="20"/>
      <c r="L205" s="20"/>
      <c r="M205" s="20"/>
      <c r="N205" s="54"/>
      <c r="O205" s="130">
        <f t="shared" si="41"/>
        <v>633235</v>
      </c>
    </row>
    <row r="206" spans="1:15" ht="30">
      <c r="A206" s="53" t="s">
        <v>303</v>
      </c>
      <c r="B206" s="7" t="s">
        <v>304</v>
      </c>
      <c r="C206" s="20">
        <v>26350</v>
      </c>
      <c r="D206" s="20"/>
      <c r="E206" s="20"/>
      <c r="F206" s="54"/>
      <c r="G206" s="20"/>
      <c r="H206" s="20"/>
      <c r="I206" s="20"/>
      <c r="J206" s="20"/>
      <c r="K206" s="20"/>
      <c r="L206" s="20"/>
      <c r="M206" s="20"/>
      <c r="N206" s="54"/>
      <c r="O206" s="130">
        <f t="shared" si="41"/>
        <v>26350</v>
      </c>
    </row>
    <row r="207" spans="1:15" ht="31.5">
      <c r="A207" s="12" t="s">
        <v>379</v>
      </c>
      <c r="B207" s="19" t="s">
        <v>380</v>
      </c>
      <c r="C207" s="54">
        <f>15000+3150</f>
        <v>18150</v>
      </c>
      <c r="D207" s="20"/>
      <c r="E207" s="20"/>
      <c r="F207" s="54"/>
      <c r="G207" s="20"/>
      <c r="H207" s="20"/>
      <c r="I207" s="20"/>
      <c r="J207" s="54"/>
      <c r="K207" s="54"/>
      <c r="L207" s="54"/>
      <c r="M207" s="54"/>
      <c r="N207" s="54"/>
      <c r="O207" s="130">
        <f t="shared" si="41"/>
        <v>18150</v>
      </c>
    </row>
    <row r="208" spans="1:15" ht="15">
      <c r="A208" s="53" t="s">
        <v>245</v>
      </c>
      <c r="B208" s="27" t="s">
        <v>154</v>
      </c>
      <c r="C208" s="133">
        <v>45241</v>
      </c>
      <c r="D208" s="20"/>
      <c r="E208" s="20"/>
      <c r="F208" s="54"/>
      <c r="G208" s="20"/>
      <c r="H208" s="20"/>
      <c r="I208" s="20">
        <v>550</v>
      </c>
      <c r="J208" s="54">
        <v>2570</v>
      </c>
      <c r="K208" s="54"/>
      <c r="L208" s="54"/>
      <c r="M208" s="54"/>
      <c r="N208" s="54"/>
      <c r="O208" s="130">
        <f t="shared" si="41"/>
        <v>48361</v>
      </c>
    </row>
    <row r="209" spans="1:15" ht="30">
      <c r="A209" s="12" t="s">
        <v>384</v>
      </c>
      <c r="B209" s="31" t="s">
        <v>383</v>
      </c>
      <c r="C209" s="54">
        <f>19128+13721</f>
        <v>32849</v>
      </c>
      <c r="D209" s="20"/>
      <c r="E209" s="20"/>
      <c r="F209" s="54"/>
      <c r="G209" s="20"/>
      <c r="H209" s="20"/>
      <c r="I209" s="20"/>
      <c r="J209" s="54"/>
      <c r="K209" s="54"/>
      <c r="L209" s="54"/>
      <c r="M209" s="54"/>
      <c r="N209" s="54"/>
      <c r="O209" s="130">
        <f t="shared" si="41"/>
        <v>32849</v>
      </c>
    </row>
    <row r="210" spans="1:15" ht="45">
      <c r="A210" s="53" t="s">
        <v>276</v>
      </c>
      <c r="B210" s="156" t="s">
        <v>423</v>
      </c>
      <c r="C210" s="54">
        <v>53800</v>
      </c>
      <c r="D210" s="20"/>
      <c r="E210" s="20"/>
      <c r="F210" s="54"/>
      <c r="G210" s="20"/>
      <c r="H210" s="20"/>
      <c r="I210" s="20"/>
      <c r="J210" s="54"/>
      <c r="K210" s="54"/>
      <c r="L210" s="54"/>
      <c r="M210" s="54"/>
      <c r="N210" s="54"/>
      <c r="O210" s="130">
        <f t="shared" si="41"/>
        <v>53800</v>
      </c>
    </row>
    <row r="211" spans="1:15" ht="30.75" thickBot="1">
      <c r="A211" s="13" t="s">
        <v>334</v>
      </c>
      <c r="B211" s="5" t="s">
        <v>335</v>
      </c>
      <c r="C211" s="20">
        <v>1607937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96"/>
      <c r="O211" s="130">
        <f>SUM(C211:N211)</f>
        <v>1607937</v>
      </c>
    </row>
    <row r="212" spans="1:15" ht="15.75" thickBot="1">
      <c r="A212" s="192"/>
      <c r="B212" s="45" t="s">
        <v>19</v>
      </c>
      <c r="C212" s="47">
        <f aca="true" t="shared" si="42" ref="C212:N212">C7+C18+C24+C66+C80+C103+C108+C135+C197</f>
        <v>57303476</v>
      </c>
      <c r="D212" s="47">
        <f t="shared" si="42"/>
        <v>3310889</v>
      </c>
      <c r="E212" s="47">
        <f t="shared" si="42"/>
        <v>1467842</v>
      </c>
      <c r="F212" s="46">
        <f t="shared" si="42"/>
        <v>396142</v>
      </c>
      <c r="G212" s="46">
        <f t="shared" si="42"/>
        <v>1742959</v>
      </c>
      <c r="H212" s="46">
        <f t="shared" si="42"/>
        <v>444241</v>
      </c>
      <c r="I212" s="46">
        <f t="shared" si="42"/>
        <v>965481</v>
      </c>
      <c r="J212" s="47">
        <f t="shared" si="42"/>
        <v>2969840</v>
      </c>
      <c r="K212" s="47">
        <f t="shared" si="42"/>
        <v>386097</v>
      </c>
      <c r="L212" s="47">
        <f t="shared" si="42"/>
        <v>360600</v>
      </c>
      <c r="M212" s="47">
        <f t="shared" si="42"/>
        <v>341754</v>
      </c>
      <c r="N212" s="47">
        <f t="shared" si="42"/>
        <v>963046</v>
      </c>
      <c r="O212" s="48">
        <f>SUM(C212:N212)</f>
        <v>70652367</v>
      </c>
    </row>
    <row r="213" spans="1:15" ht="15">
      <c r="A213" s="193" t="s">
        <v>156</v>
      </c>
      <c r="B213" s="80" t="s">
        <v>277</v>
      </c>
      <c r="C213" s="194">
        <f>3066633+850197</f>
        <v>3916830</v>
      </c>
      <c r="D213" s="194"/>
      <c r="E213" s="194"/>
      <c r="F213" s="195"/>
      <c r="G213" s="195"/>
      <c r="H213" s="194"/>
      <c r="I213" s="194"/>
      <c r="J213" s="194"/>
      <c r="K213" s="194"/>
      <c r="L213" s="194"/>
      <c r="M213" s="194"/>
      <c r="N213" s="194"/>
      <c r="O213" s="195">
        <f>SUM(C213:N213)</f>
        <v>3916830</v>
      </c>
    </row>
    <row r="214" spans="1:15" ht="15">
      <c r="A214" s="33"/>
      <c r="B214" s="33"/>
      <c r="C214" s="33"/>
      <c r="D214" s="33"/>
      <c r="E214" s="33"/>
      <c r="F214" s="196"/>
      <c r="G214" s="33"/>
      <c r="H214" s="33"/>
      <c r="I214" s="33"/>
      <c r="J214" s="33"/>
      <c r="K214" s="33"/>
      <c r="L214" s="33"/>
      <c r="M214" s="33"/>
      <c r="N214" s="33"/>
      <c r="O214" s="195"/>
    </row>
    <row r="215" spans="1:15" ht="30">
      <c r="A215" s="197" t="s">
        <v>265</v>
      </c>
      <c r="B215" s="198" t="s">
        <v>278</v>
      </c>
      <c r="C215" s="33">
        <v>800000</v>
      </c>
      <c r="D215" s="33">
        <v>1667281</v>
      </c>
      <c r="E215" s="33"/>
      <c r="F215" s="196">
        <v>61724</v>
      </c>
      <c r="G215" s="33">
        <f>52382-18512</f>
        <v>33870</v>
      </c>
      <c r="H215" s="33">
        <v>19204</v>
      </c>
      <c r="I215" s="33"/>
      <c r="J215" s="33">
        <v>18110</v>
      </c>
      <c r="K215" s="33"/>
      <c r="L215" s="33">
        <f>12954-58</f>
        <v>12896</v>
      </c>
      <c r="M215" s="33">
        <f>28468-5400</f>
        <v>23068</v>
      </c>
      <c r="N215" s="33">
        <v>30576</v>
      </c>
      <c r="O215" s="195">
        <f t="shared" si="41"/>
        <v>2666729</v>
      </c>
    </row>
    <row r="216" spans="1:15" ht="30">
      <c r="A216" s="32" t="s">
        <v>246</v>
      </c>
      <c r="B216" s="199" t="s">
        <v>247</v>
      </c>
      <c r="C216" s="195">
        <v>7327761</v>
      </c>
      <c r="D216" s="195">
        <v>-837623</v>
      </c>
      <c r="E216" s="195">
        <v>-1081958</v>
      </c>
      <c r="F216" s="195">
        <v>-87615</v>
      </c>
      <c r="G216" s="195">
        <v>-1328384</v>
      </c>
      <c r="H216" s="195">
        <v>-256794</v>
      </c>
      <c r="I216" s="195">
        <v>-624625</v>
      </c>
      <c r="J216" s="195">
        <v>-1634027</v>
      </c>
      <c r="K216" s="195">
        <v>-212971</v>
      </c>
      <c r="L216" s="195">
        <v>-211074</v>
      </c>
      <c r="M216" s="195">
        <v>-244307</v>
      </c>
      <c r="N216" s="195">
        <v>-808383</v>
      </c>
      <c r="O216" s="195">
        <v>0</v>
      </c>
    </row>
    <row r="217" spans="1:15" ht="15">
      <c r="A217" s="33"/>
      <c r="B217" s="200"/>
      <c r="C217" s="195"/>
      <c r="D217" s="195"/>
      <c r="E217" s="195"/>
      <c r="F217" s="195"/>
      <c r="G217" s="195"/>
      <c r="H217" s="201"/>
      <c r="I217" s="195"/>
      <c r="J217" s="201"/>
      <c r="K217" s="195"/>
      <c r="L217" s="195"/>
      <c r="M217" s="195"/>
      <c r="N217" s="195"/>
      <c r="O217" s="195"/>
    </row>
    <row r="218" spans="1:15" ht="15">
      <c r="A218" s="33"/>
      <c r="B218" s="202" t="s">
        <v>263</v>
      </c>
      <c r="C218" s="33"/>
      <c r="D218" s="33"/>
      <c r="E218" s="33" t="s">
        <v>20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203"/>
    </row>
    <row r="219" spans="1:15" ht="15">
      <c r="A219" s="196"/>
      <c r="B219" s="80"/>
      <c r="C219" s="195"/>
      <c r="D219" s="195"/>
      <c r="E219" s="195"/>
      <c r="F219" s="195"/>
      <c r="G219" s="218"/>
      <c r="H219" s="196"/>
      <c r="I219" s="33"/>
      <c r="J219" s="196"/>
      <c r="K219" s="196"/>
      <c r="L219" s="196"/>
      <c r="M219" s="33"/>
      <c r="N219" s="196"/>
      <c r="O219" s="196"/>
    </row>
    <row r="220" spans="1:15" ht="15">
      <c r="A220" s="196"/>
      <c r="B220" s="80"/>
      <c r="C220" s="195"/>
      <c r="D220" s="195"/>
      <c r="E220" s="195"/>
      <c r="F220" s="195"/>
      <c r="G220" s="218"/>
      <c r="H220" s="196"/>
      <c r="I220" s="33"/>
      <c r="J220" s="196"/>
      <c r="K220" s="196"/>
      <c r="L220" s="196"/>
      <c r="M220" s="33"/>
      <c r="N220" s="196"/>
      <c r="O220" s="196"/>
    </row>
    <row r="221" spans="1:15" ht="15">
      <c r="A221" s="196"/>
      <c r="B221" s="80"/>
      <c r="C221" s="195"/>
      <c r="D221" s="195"/>
      <c r="E221" s="195"/>
      <c r="F221" s="195"/>
      <c r="G221" s="218"/>
      <c r="H221" s="196"/>
      <c r="I221" s="33"/>
      <c r="J221" s="196"/>
      <c r="K221" s="196"/>
      <c r="L221" s="196"/>
      <c r="M221" s="33"/>
      <c r="N221" s="196"/>
      <c r="O221" s="196"/>
    </row>
    <row r="222" spans="1:15" ht="15">
      <c r="A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194"/>
    </row>
    <row r="223" spans="1:15" ht="44.25" customHeight="1" thickBot="1">
      <c r="A223" s="250" t="s">
        <v>527</v>
      </c>
      <c r="B223" s="250"/>
      <c r="C223" s="250"/>
      <c r="D223" s="250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194"/>
    </row>
    <row r="224" spans="1:15" ht="90.75" thickBot="1">
      <c r="A224" s="115" t="s">
        <v>9</v>
      </c>
      <c r="B224" s="116" t="s">
        <v>127</v>
      </c>
      <c r="C224" s="42" t="s">
        <v>477</v>
      </c>
      <c r="D224" s="117" t="s">
        <v>478</v>
      </c>
      <c r="E224" s="42" t="s">
        <v>479</v>
      </c>
      <c r="F224" s="42" t="s">
        <v>480</v>
      </c>
      <c r="G224" s="118" t="s">
        <v>481</v>
      </c>
      <c r="H224" s="118" t="s">
        <v>482</v>
      </c>
      <c r="I224" s="118" t="s">
        <v>483</v>
      </c>
      <c r="J224" s="118" t="s">
        <v>484</v>
      </c>
      <c r="K224" s="118" t="s">
        <v>485</v>
      </c>
      <c r="L224" s="118" t="s">
        <v>486</v>
      </c>
      <c r="M224" s="118" t="s">
        <v>487</v>
      </c>
      <c r="N224" s="119" t="s">
        <v>488</v>
      </c>
      <c r="O224" s="120" t="s">
        <v>489</v>
      </c>
    </row>
    <row r="225" spans="1:15" ht="15">
      <c r="A225" s="219">
        <v>1100</v>
      </c>
      <c r="B225" s="85" t="s">
        <v>171</v>
      </c>
      <c r="C225" s="29">
        <f>12311754+409816</f>
        <v>12721570</v>
      </c>
      <c r="D225" s="244">
        <v>976018</v>
      </c>
      <c r="E225" s="29">
        <v>715507</v>
      </c>
      <c r="F225" s="29">
        <v>70204</v>
      </c>
      <c r="G225" s="220">
        <v>905380</v>
      </c>
      <c r="H225" s="29">
        <v>127630</v>
      </c>
      <c r="I225" s="29">
        <v>452871</v>
      </c>
      <c r="J225" s="29">
        <v>1443277</v>
      </c>
      <c r="K225" s="29">
        <v>127381</v>
      </c>
      <c r="L225" s="29">
        <v>149012</v>
      </c>
      <c r="M225" s="29">
        <v>133007</v>
      </c>
      <c r="N225" s="221">
        <v>573729</v>
      </c>
      <c r="O225" s="162">
        <f aca="true" t="shared" si="43" ref="O225:O241">SUM(C225:N225)</f>
        <v>18395586</v>
      </c>
    </row>
    <row r="226" spans="1:15" ht="45">
      <c r="A226" s="91">
        <v>1200</v>
      </c>
      <c r="B226" s="27" t="s">
        <v>248</v>
      </c>
      <c r="C226" s="20">
        <f>3566909+96680</f>
        <v>3663589</v>
      </c>
      <c r="D226" s="245">
        <v>230244</v>
      </c>
      <c r="E226" s="20">
        <v>200680</v>
      </c>
      <c r="F226" s="20">
        <v>20766</v>
      </c>
      <c r="G226" s="97">
        <v>266471</v>
      </c>
      <c r="H226" s="20">
        <v>43256</v>
      </c>
      <c r="I226" s="20">
        <v>133816</v>
      </c>
      <c r="J226" s="20">
        <v>419539</v>
      </c>
      <c r="K226" s="20">
        <v>38008</v>
      </c>
      <c r="L226" s="20">
        <v>43754</v>
      </c>
      <c r="M226" s="20">
        <v>38871</v>
      </c>
      <c r="N226" s="60">
        <v>173480</v>
      </c>
      <c r="O226" s="130">
        <f>SUM(C226:N226)</f>
        <v>5272474</v>
      </c>
    </row>
    <row r="227" spans="1:15" ht="15">
      <c r="A227" s="91">
        <v>2000</v>
      </c>
      <c r="B227" s="27" t="s">
        <v>157</v>
      </c>
      <c r="C227" s="20">
        <f aca="true" t="shared" si="44" ref="C227:N227">SUM(C228:C232)</f>
        <v>6911552</v>
      </c>
      <c r="D227" s="20">
        <f t="shared" si="44"/>
        <v>1504951</v>
      </c>
      <c r="E227" s="20">
        <f t="shared" si="44"/>
        <v>447478</v>
      </c>
      <c r="F227" s="20">
        <f t="shared" si="44"/>
        <v>276000</v>
      </c>
      <c r="G227" s="56">
        <f t="shared" si="44"/>
        <v>534397</v>
      </c>
      <c r="H227" s="20">
        <f t="shared" si="44"/>
        <v>261374</v>
      </c>
      <c r="I227" s="20">
        <f t="shared" si="44"/>
        <v>363967</v>
      </c>
      <c r="J227" s="20">
        <f t="shared" si="44"/>
        <v>824311</v>
      </c>
      <c r="K227" s="20">
        <f t="shared" si="44"/>
        <v>210339</v>
      </c>
      <c r="L227" s="20">
        <f t="shared" si="44"/>
        <v>106858</v>
      </c>
      <c r="M227" s="20">
        <f t="shared" si="44"/>
        <v>149428</v>
      </c>
      <c r="N227" s="60">
        <f t="shared" si="44"/>
        <v>193827</v>
      </c>
      <c r="O227" s="130">
        <f>SUM(C227:N227)</f>
        <v>11784482</v>
      </c>
    </row>
    <row r="228" spans="1:15" ht="30">
      <c r="A228" s="91">
        <v>2100</v>
      </c>
      <c r="B228" s="27" t="s">
        <v>274</v>
      </c>
      <c r="C228" s="20">
        <f>164403-8000</f>
        <v>156403</v>
      </c>
      <c r="D228" s="20">
        <v>2500</v>
      </c>
      <c r="E228" s="20"/>
      <c r="F228" s="20"/>
      <c r="G228" s="56">
        <v>680</v>
      </c>
      <c r="H228" s="20">
        <v>30</v>
      </c>
      <c r="I228" s="20">
        <v>70</v>
      </c>
      <c r="J228" s="20">
        <v>1290</v>
      </c>
      <c r="K228" s="20"/>
      <c r="L228" s="20">
        <v>30</v>
      </c>
      <c r="M228" s="8">
        <v>600</v>
      </c>
      <c r="N228" s="60">
        <v>250</v>
      </c>
      <c r="O228" s="130">
        <f t="shared" si="43"/>
        <v>161853</v>
      </c>
    </row>
    <row r="229" spans="1:15" ht="15">
      <c r="A229" s="91">
        <v>2200</v>
      </c>
      <c r="B229" s="27" t="s">
        <v>158</v>
      </c>
      <c r="C229" s="20">
        <f>5961426-6000-620604</f>
        <v>5334822</v>
      </c>
      <c r="D229" s="20">
        <v>1027634</v>
      </c>
      <c r="E229" s="20">
        <v>348501</v>
      </c>
      <c r="F229" s="20">
        <f>248498+8300</f>
        <v>256798</v>
      </c>
      <c r="G229" s="56">
        <v>289551</v>
      </c>
      <c r="H229" s="8">
        <v>217406</v>
      </c>
      <c r="I229" s="20">
        <f>277436-14834</f>
        <v>262602</v>
      </c>
      <c r="J229" s="8">
        <v>511053</v>
      </c>
      <c r="K229" s="20">
        <f>151563-46</f>
        <v>151517</v>
      </c>
      <c r="L229" s="20">
        <f>79430</f>
        <v>79430</v>
      </c>
      <c r="M229" s="8">
        <v>120978</v>
      </c>
      <c r="N229" s="60">
        <v>88694</v>
      </c>
      <c r="O229" s="130">
        <f t="shared" si="43"/>
        <v>8688986</v>
      </c>
    </row>
    <row r="230" spans="1:15" ht="30">
      <c r="A230" s="91">
        <v>2300</v>
      </c>
      <c r="B230" s="27" t="s">
        <v>159</v>
      </c>
      <c r="C230" s="20">
        <f>1217460+134590</f>
        <v>1352050</v>
      </c>
      <c r="D230" s="20">
        <v>208633</v>
      </c>
      <c r="E230" s="20">
        <v>93977</v>
      </c>
      <c r="F230" s="20">
        <v>8742</v>
      </c>
      <c r="G230" s="56">
        <f>232966+9000</f>
        <v>241966</v>
      </c>
      <c r="H230" s="20">
        <v>37386</v>
      </c>
      <c r="I230" s="20">
        <v>96265</v>
      </c>
      <c r="J230" s="20">
        <v>298886</v>
      </c>
      <c r="K230" s="20">
        <v>55848</v>
      </c>
      <c r="L230" s="20">
        <v>25278</v>
      </c>
      <c r="M230" s="20">
        <v>26550</v>
      </c>
      <c r="N230" s="60">
        <v>97153</v>
      </c>
      <c r="O230" s="130">
        <f>SUM(C230:N230)</f>
        <v>2542734</v>
      </c>
    </row>
    <row r="231" spans="1:15" ht="15">
      <c r="A231" s="91">
        <v>2400</v>
      </c>
      <c r="B231" s="27" t="s">
        <v>160</v>
      </c>
      <c r="C231" s="20">
        <v>5420</v>
      </c>
      <c r="D231" s="20"/>
      <c r="E231" s="20"/>
      <c r="F231" s="20"/>
      <c r="G231" s="56">
        <v>1900</v>
      </c>
      <c r="H231" s="20">
        <v>460</v>
      </c>
      <c r="I231" s="20">
        <v>500</v>
      </c>
      <c r="J231" s="20">
        <v>1130</v>
      </c>
      <c r="K231" s="20">
        <v>1280</v>
      </c>
      <c r="L231" s="20">
        <v>850</v>
      </c>
      <c r="M231" s="20">
        <v>800</v>
      </c>
      <c r="N231" s="60">
        <v>1730</v>
      </c>
      <c r="O231" s="130">
        <f t="shared" si="43"/>
        <v>14070</v>
      </c>
    </row>
    <row r="232" spans="1:15" ht="15">
      <c r="A232" s="91">
        <v>2500</v>
      </c>
      <c r="B232" s="27" t="s">
        <v>161</v>
      </c>
      <c r="C232" s="20">
        <v>62857</v>
      </c>
      <c r="D232" s="20">
        <v>266184</v>
      </c>
      <c r="E232" s="20">
        <v>5000</v>
      </c>
      <c r="F232" s="20">
        <f>10360+100</f>
        <v>10460</v>
      </c>
      <c r="G232" s="56">
        <v>300</v>
      </c>
      <c r="H232" s="20">
        <v>6092</v>
      </c>
      <c r="I232" s="20">
        <v>4530</v>
      </c>
      <c r="J232" s="20">
        <v>11952</v>
      </c>
      <c r="K232" s="20">
        <v>1694</v>
      </c>
      <c r="L232" s="20">
        <v>1270</v>
      </c>
      <c r="M232" s="20">
        <v>500</v>
      </c>
      <c r="N232" s="60">
        <v>6000</v>
      </c>
      <c r="O232" s="130">
        <f t="shared" si="43"/>
        <v>376839</v>
      </c>
    </row>
    <row r="233" spans="1:15" ht="30">
      <c r="A233" s="91">
        <v>3200</v>
      </c>
      <c r="B233" s="27" t="s">
        <v>249</v>
      </c>
      <c r="C233" s="20">
        <f>2342895+6000+100862</f>
        <v>2449757</v>
      </c>
      <c r="D233" s="20"/>
      <c r="E233" s="20"/>
      <c r="F233" s="20"/>
      <c r="G233" s="56"/>
      <c r="H233" s="20"/>
      <c r="I233" s="20"/>
      <c r="J233" s="20"/>
      <c r="K233" s="20"/>
      <c r="L233" s="20"/>
      <c r="M233" s="20"/>
      <c r="N233" s="60"/>
      <c r="O233" s="130">
        <f t="shared" si="43"/>
        <v>2449757</v>
      </c>
    </row>
    <row r="234" spans="1:15" ht="15">
      <c r="A234" s="91">
        <v>4200</v>
      </c>
      <c r="B234" s="27" t="s">
        <v>424</v>
      </c>
      <c r="C234" s="20"/>
      <c r="D234" s="20"/>
      <c r="E234" s="20"/>
      <c r="F234" s="20"/>
      <c r="G234" s="56"/>
      <c r="H234" s="20"/>
      <c r="I234" s="20"/>
      <c r="J234" s="20"/>
      <c r="K234" s="20"/>
      <c r="L234" s="20"/>
      <c r="M234" s="20"/>
      <c r="N234" s="60"/>
      <c r="O234" s="130">
        <f t="shared" si="43"/>
        <v>0</v>
      </c>
    </row>
    <row r="235" spans="1:15" ht="15">
      <c r="A235" s="91">
        <v>4300</v>
      </c>
      <c r="B235" s="27" t="s">
        <v>162</v>
      </c>
      <c r="C235" s="20">
        <v>80000</v>
      </c>
      <c r="D235" s="20"/>
      <c r="E235" s="20"/>
      <c r="F235" s="20"/>
      <c r="G235" s="56"/>
      <c r="H235" s="20"/>
      <c r="I235" s="20"/>
      <c r="J235" s="20"/>
      <c r="K235" s="20"/>
      <c r="L235" s="20"/>
      <c r="M235" s="20"/>
      <c r="N235" s="60"/>
      <c r="O235" s="130">
        <f t="shared" si="43"/>
        <v>80000</v>
      </c>
    </row>
    <row r="236" spans="1:15" ht="15">
      <c r="A236" s="91">
        <v>5100</v>
      </c>
      <c r="B236" s="27" t="s">
        <v>121</v>
      </c>
      <c r="C236" s="20">
        <f>35480+826</f>
        <v>36306</v>
      </c>
      <c r="D236" s="20"/>
      <c r="E236" s="20">
        <v>5168</v>
      </c>
      <c r="F236" s="20"/>
      <c r="G236" s="56"/>
      <c r="H236" s="20"/>
      <c r="I236" s="20">
        <v>200</v>
      </c>
      <c r="J236" s="20"/>
      <c r="K236" s="20"/>
      <c r="L236" s="20"/>
      <c r="M236" s="20"/>
      <c r="N236" s="60"/>
      <c r="O236" s="130">
        <f t="shared" si="43"/>
        <v>41674</v>
      </c>
    </row>
    <row r="237" spans="1:15" ht="15">
      <c r="A237" s="91">
        <v>5200</v>
      </c>
      <c r="B237" s="27" t="s">
        <v>163</v>
      </c>
      <c r="C237" s="20">
        <f>29668013-667653</f>
        <v>29000360</v>
      </c>
      <c r="D237" s="20">
        <v>599676</v>
      </c>
      <c r="E237" s="20">
        <v>99009</v>
      </c>
      <c r="F237" s="20">
        <v>29172</v>
      </c>
      <c r="G237" s="56">
        <v>33991</v>
      </c>
      <c r="H237" s="20">
        <v>7591</v>
      </c>
      <c r="I237" s="20">
        <v>12027</v>
      </c>
      <c r="J237" s="20">
        <v>279563</v>
      </c>
      <c r="K237" s="20">
        <f>7969</f>
        <v>7969</v>
      </c>
      <c r="L237" s="20">
        <v>58576</v>
      </c>
      <c r="M237" s="20">
        <v>18048</v>
      </c>
      <c r="N237" s="60">
        <v>19500</v>
      </c>
      <c r="O237" s="130">
        <f t="shared" si="43"/>
        <v>30165482</v>
      </c>
    </row>
    <row r="238" spans="1:15" ht="15">
      <c r="A238" s="91">
        <v>6200</v>
      </c>
      <c r="B238" s="27" t="s">
        <v>164</v>
      </c>
      <c r="C238" s="20">
        <f>554293+16690</f>
        <v>570983</v>
      </c>
      <c r="D238" s="20"/>
      <c r="E238" s="20"/>
      <c r="F238" s="20"/>
      <c r="G238" s="56">
        <v>2390</v>
      </c>
      <c r="H238" s="20">
        <v>2390</v>
      </c>
      <c r="I238" s="20">
        <v>2390</v>
      </c>
      <c r="J238" s="20">
        <v>2390</v>
      </c>
      <c r="K238" s="20">
        <v>2400</v>
      </c>
      <c r="L238" s="20">
        <v>2400</v>
      </c>
      <c r="M238" s="20">
        <v>2400</v>
      </c>
      <c r="N238" s="60">
        <v>2390</v>
      </c>
      <c r="O238" s="130">
        <f t="shared" si="43"/>
        <v>590133</v>
      </c>
    </row>
    <row r="239" spans="1:15" ht="15">
      <c r="A239" s="91">
        <v>6300</v>
      </c>
      <c r="B239" s="27" t="s">
        <v>165</v>
      </c>
      <c r="C239" s="20">
        <f>240112+56000</f>
        <v>296112</v>
      </c>
      <c r="D239" s="20"/>
      <c r="E239" s="20"/>
      <c r="F239" s="20"/>
      <c r="G239" s="56"/>
      <c r="H239" s="20">
        <v>2000</v>
      </c>
      <c r="I239" s="20">
        <f>600-600</f>
        <v>0</v>
      </c>
      <c r="J239" s="20"/>
      <c r="K239" s="20"/>
      <c r="L239" s="20"/>
      <c r="M239" s="20"/>
      <c r="N239" s="60"/>
      <c r="O239" s="130">
        <f t="shared" si="43"/>
        <v>298112</v>
      </c>
    </row>
    <row r="240" spans="1:15" ht="30">
      <c r="A240" s="91">
        <v>6400</v>
      </c>
      <c r="B240" s="27" t="s">
        <v>250</v>
      </c>
      <c r="C240" s="20">
        <f>733189-57982</f>
        <v>675207</v>
      </c>
      <c r="D240" s="20"/>
      <c r="E240" s="20"/>
      <c r="F240" s="20"/>
      <c r="G240" s="56">
        <v>330</v>
      </c>
      <c r="H240" s="20"/>
      <c r="I240" s="20">
        <v>210</v>
      </c>
      <c r="J240" s="20">
        <v>760</v>
      </c>
      <c r="K240" s="20"/>
      <c r="L240" s="20"/>
      <c r="M240" s="20"/>
      <c r="N240" s="60">
        <v>120</v>
      </c>
      <c r="O240" s="130">
        <f t="shared" si="43"/>
        <v>676627</v>
      </c>
    </row>
    <row r="241" spans="1:15" ht="30">
      <c r="A241" s="91">
        <v>6500</v>
      </c>
      <c r="B241" s="27" t="s">
        <v>275</v>
      </c>
      <c r="C241" s="20">
        <v>500</v>
      </c>
      <c r="D241" s="20"/>
      <c r="E241" s="20"/>
      <c r="F241" s="20"/>
      <c r="G241" s="56"/>
      <c r="H241" s="20"/>
      <c r="I241" s="20"/>
      <c r="J241" s="20"/>
      <c r="K241" s="20"/>
      <c r="L241" s="20"/>
      <c r="M241" s="20"/>
      <c r="N241" s="60"/>
      <c r="O241" s="130">
        <f t="shared" si="43"/>
        <v>500</v>
      </c>
    </row>
    <row r="242" spans="1:15" ht="15.75" thickBot="1">
      <c r="A242" s="91">
        <v>7200</v>
      </c>
      <c r="B242" s="27" t="s">
        <v>251</v>
      </c>
      <c r="C242" s="20">
        <f>895506+2034</f>
        <v>897540</v>
      </c>
      <c r="D242" s="20"/>
      <c r="E242" s="20"/>
      <c r="F242" s="20"/>
      <c r="G242" s="56"/>
      <c r="H242" s="20"/>
      <c r="I242" s="20"/>
      <c r="J242" s="20"/>
      <c r="K242" s="20"/>
      <c r="L242" s="20"/>
      <c r="M242" s="20"/>
      <c r="N242" s="60"/>
      <c r="O242" s="130">
        <f>SUM(C242:N242)</f>
        <v>897540</v>
      </c>
    </row>
    <row r="243" spans="1:15" ht="15.75" thickBot="1">
      <c r="A243" s="192"/>
      <c r="B243" s="222" t="s">
        <v>166</v>
      </c>
      <c r="C243" s="223">
        <f aca="true" t="shared" si="45" ref="C243:N243">SUM(C225:C227,C233:C242)</f>
        <v>57303476</v>
      </c>
      <c r="D243" s="223">
        <f t="shared" si="45"/>
        <v>3310889</v>
      </c>
      <c r="E243" s="223">
        <f t="shared" si="45"/>
        <v>1467842</v>
      </c>
      <c r="F243" s="223">
        <f t="shared" si="45"/>
        <v>396142</v>
      </c>
      <c r="G243" s="223">
        <f t="shared" si="45"/>
        <v>1742959</v>
      </c>
      <c r="H243" s="223">
        <f t="shared" si="45"/>
        <v>444241</v>
      </c>
      <c r="I243" s="223">
        <f t="shared" si="45"/>
        <v>965481</v>
      </c>
      <c r="J243" s="223">
        <f t="shared" si="45"/>
        <v>2969840</v>
      </c>
      <c r="K243" s="223">
        <f t="shared" si="45"/>
        <v>386097</v>
      </c>
      <c r="L243" s="223">
        <f t="shared" si="45"/>
        <v>360600</v>
      </c>
      <c r="M243" s="223">
        <f t="shared" si="45"/>
        <v>341754</v>
      </c>
      <c r="N243" s="223">
        <f t="shared" si="45"/>
        <v>963046</v>
      </c>
      <c r="O243" s="48">
        <f>SUM(C243:N243)</f>
        <v>70652367</v>
      </c>
    </row>
    <row r="244" spans="2:6" ht="15">
      <c r="B244" s="224"/>
      <c r="C244" s="209"/>
      <c r="D244" s="196"/>
      <c r="E244" s="33"/>
      <c r="F244" s="33"/>
    </row>
    <row r="245" spans="2:15" ht="15">
      <c r="B245" s="224"/>
      <c r="C245" s="209"/>
      <c r="D245" s="196"/>
      <c r="E245" s="33"/>
      <c r="F245" s="33"/>
      <c r="O245" s="194"/>
    </row>
    <row r="246" spans="2:6" ht="15">
      <c r="B246" s="225" t="s">
        <v>263</v>
      </c>
      <c r="C246" s="209"/>
      <c r="D246" s="196"/>
      <c r="E246" s="33" t="s">
        <v>20</v>
      </c>
      <c r="F246" s="33"/>
    </row>
    <row r="251" ht="15">
      <c r="B251" s="225"/>
    </row>
  </sheetData>
  <sheetProtection/>
  <mergeCells count="2">
    <mergeCell ref="A5:D5"/>
    <mergeCell ref="A223:D223"/>
  </mergeCells>
  <printOptions/>
  <pageMargins left="1.0236220472440944" right="0.35433070866141736" top="0.7874015748031497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8"/>
  <sheetViews>
    <sheetView zoomScale="115" zoomScaleNormal="115" zoomScalePageLayoutView="0" workbookViewId="0" topLeftCell="A1">
      <selection activeCell="F27" sqref="F27"/>
    </sheetView>
  </sheetViews>
  <sheetFormatPr defaultColWidth="9.140625" defaultRowHeight="12.75"/>
  <cols>
    <col min="1" max="1" width="9.140625" style="2" customWidth="1"/>
  </cols>
  <sheetData>
    <row r="1" ht="12.75">
      <c r="A1" s="2">
        <v>160698</v>
      </c>
    </row>
    <row r="2" ht="12.75">
      <c r="A2" s="2">
        <v>45788</v>
      </c>
    </row>
    <row r="3" ht="12.75">
      <c r="A3" s="2">
        <v>23648</v>
      </c>
    </row>
    <row r="4" ht="12.75">
      <c r="A4" s="2">
        <v>49835</v>
      </c>
    </row>
    <row r="5" ht="12.75">
      <c r="A5" s="2">
        <v>56534</v>
      </c>
    </row>
    <row r="6" ht="12.75">
      <c r="A6" s="2">
        <v>57063</v>
      </c>
    </row>
    <row r="7" ht="12.75">
      <c r="A7" s="2">
        <v>3356</v>
      </c>
    </row>
    <row r="8" ht="12.75">
      <c r="A8" s="2">
        <v>108138</v>
      </c>
    </row>
    <row r="9" ht="12.75">
      <c r="A9" s="2">
        <v>4040</v>
      </c>
    </row>
    <row r="10" ht="12.75">
      <c r="A10" s="2">
        <v>2500</v>
      </c>
    </row>
    <row r="11" ht="12.75">
      <c r="A11" s="2">
        <v>31568</v>
      </c>
    </row>
    <row r="12" ht="12.75">
      <c r="A12" s="2">
        <v>1364</v>
      </c>
    </row>
    <row r="13" ht="12.75">
      <c r="A13" s="2">
        <v>142212</v>
      </c>
    </row>
    <row r="14" ht="12.75">
      <c r="A14" s="2">
        <v>2404</v>
      </c>
    </row>
    <row r="15" ht="12.75">
      <c r="A15" s="2">
        <v>3288</v>
      </c>
    </row>
    <row r="16" ht="12.75">
      <c r="A16" s="2">
        <v>2096</v>
      </c>
    </row>
    <row r="17" ht="12.75">
      <c r="A17" s="2">
        <v>77205</v>
      </c>
    </row>
    <row r="18" ht="12.75">
      <c r="A18" s="2">
        <v>5748</v>
      </c>
    </row>
    <row r="19" ht="12.75">
      <c r="A19" s="2">
        <v>36443</v>
      </c>
    </row>
    <row r="20" ht="12.75">
      <c r="A20" s="2">
        <v>2812</v>
      </c>
    </row>
    <row r="21" ht="12.75">
      <c r="A21" s="2">
        <v>48258</v>
      </c>
    </row>
    <row r="22" ht="12.75">
      <c r="A22" s="2">
        <v>21235</v>
      </c>
    </row>
    <row r="23" ht="12.75">
      <c r="A23" s="2">
        <v>45116</v>
      </c>
    </row>
    <row r="24" ht="12.75">
      <c r="A24" s="2">
        <v>6764</v>
      </c>
    </row>
    <row r="25" ht="12.75">
      <c r="A25" s="2">
        <v>20313</v>
      </c>
    </row>
    <row r="26" ht="12.75">
      <c r="A26" s="2">
        <v>43020</v>
      </c>
    </row>
    <row r="27" ht="12.75">
      <c r="A27" s="2">
        <v>35144</v>
      </c>
    </row>
    <row r="28" ht="12.75">
      <c r="A28" s="2">
        <v>41748</v>
      </c>
    </row>
    <row r="29" ht="12.75">
      <c r="A29" s="2">
        <v>42664</v>
      </c>
    </row>
    <row r="30" ht="12.75">
      <c r="A30" s="2">
        <v>44100</v>
      </c>
    </row>
    <row r="31" ht="12.75">
      <c r="A31" s="2">
        <v>39428</v>
      </c>
    </row>
    <row r="32" ht="12.75">
      <c r="A32" s="2">
        <v>64720</v>
      </c>
    </row>
    <row r="33" ht="12.75">
      <c r="A33" s="2">
        <v>27808</v>
      </c>
    </row>
    <row r="34" ht="12.75">
      <c r="A34" s="2">
        <v>22012</v>
      </c>
    </row>
    <row r="35" ht="12.75">
      <c r="A35" s="2">
        <v>2600</v>
      </c>
    </row>
    <row r="36" ht="12.75">
      <c r="A36" s="2">
        <v>4800</v>
      </c>
    </row>
    <row r="37" ht="12.75">
      <c r="A37" s="2">
        <v>1424</v>
      </c>
    </row>
    <row r="38" ht="12.75">
      <c r="A38" s="2">
        <v>10392</v>
      </c>
    </row>
    <row r="39" ht="12.75">
      <c r="A39" s="2">
        <v>12104</v>
      </c>
    </row>
    <row r="40" ht="12.75">
      <c r="A40" s="2">
        <v>17244</v>
      </c>
    </row>
    <row r="41" ht="12.75">
      <c r="A41" s="2">
        <v>5072</v>
      </c>
    </row>
    <row r="42" ht="12.75">
      <c r="A42" s="2">
        <v>32984</v>
      </c>
    </row>
    <row r="43" ht="12.75">
      <c r="A43" s="2">
        <v>5090</v>
      </c>
    </row>
    <row r="44" ht="12.75">
      <c r="A44" s="2">
        <v>7107</v>
      </c>
    </row>
    <row r="45" ht="12.75">
      <c r="A45" s="2">
        <v>12988</v>
      </c>
    </row>
    <row r="46" ht="12.75">
      <c r="A46" s="2">
        <v>979</v>
      </c>
    </row>
    <row r="47" ht="12.75">
      <c r="A47" s="2">
        <v>68568</v>
      </c>
    </row>
    <row r="48" ht="12.75">
      <c r="A48" s="2">
        <v>64600</v>
      </c>
    </row>
    <row r="49" ht="12.75">
      <c r="A49" s="2">
        <v>868</v>
      </c>
    </row>
    <row r="50" ht="12.75">
      <c r="A50" s="2">
        <v>7028</v>
      </c>
    </row>
    <row r="51" ht="12.75">
      <c r="A51" s="2">
        <v>12988</v>
      </c>
    </row>
    <row r="52" ht="12.75">
      <c r="A52" s="2">
        <v>18761</v>
      </c>
    </row>
    <row r="53" ht="12.75">
      <c r="A53" s="2">
        <v>8419</v>
      </c>
    </row>
    <row r="54" ht="12.75">
      <c r="A54" s="2">
        <v>49610</v>
      </c>
    </row>
    <row r="55" ht="12.75">
      <c r="A55" s="2">
        <v>40886</v>
      </c>
    </row>
    <row r="56" ht="12.75">
      <c r="A56" s="2">
        <v>22193</v>
      </c>
    </row>
    <row r="57" ht="12.75">
      <c r="A57" s="2">
        <v>5433</v>
      </c>
    </row>
    <row r="58" ht="12.75">
      <c r="A58" s="2">
        <v>2878</v>
      </c>
    </row>
    <row r="59" ht="12.75">
      <c r="A59" s="2">
        <v>924390</v>
      </c>
    </row>
    <row r="60" ht="12.75">
      <c r="A60" s="2">
        <v>3954</v>
      </c>
    </row>
    <row r="61" ht="12.75">
      <c r="A61" s="2">
        <v>3300</v>
      </c>
    </row>
    <row r="62" ht="12.75">
      <c r="A62" s="2">
        <v>7200</v>
      </c>
    </row>
    <row r="63" ht="12.75">
      <c r="A63" s="2">
        <v>4082</v>
      </c>
    </row>
    <row r="64" ht="12.75">
      <c r="A64" s="2">
        <v>1112557</v>
      </c>
    </row>
    <row r="65" ht="12.75">
      <c r="A65" s="2">
        <v>4001</v>
      </c>
    </row>
    <row r="66" ht="12.75">
      <c r="A66" s="2">
        <v>15845</v>
      </c>
    </row>
    <row r="67" ht="12.75">
      <c r="A67" s="2">
        <v>2575</v>
      </c>
    </row>
    <row r="68" ht="12.75">
      <c r="A68" s="9">
        <f>SUM(A1:A67)</f>
        <v>3811990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2021-06-17T12:09:51Z</cp:lastPrinted>
  <dcterms:created xsi:type="dcterms:W3CDTF">2006-04-20T10:34:24Z</dcterms:created>
  <dcterms:modified xsi:type="dcterms:W3CDTF">2021-06-17T12:10:33Z</dcterms:modified>
  <cp:category/>
  <cp:version/>
  <cp:contentType/>
  <cp:contentStatus/>
</cp:coreProperties>
</file>