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matbudžets   " sheetId="1" r:id="rId1"/>
    <sheet name="Specbudžets" sheetId="2" r:id="rId2"/>
    <sheet name="Specb pa veidiem" sheetId="3" r:id="rId3"/>
    <sheet name="Ziedojumi un dāvinājumi" sheetId="4" r:id="rId4"/>
  </sheet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<sst xmlns="http://schemas.openxmlformats.org/spreadsheetml/2006/main" count="811" uniqueCount="524">
  <si>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</si>
  <si>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</si>
  <si>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</si>
  <si>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</si>
  <si>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</si>
  <si>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</si>
  <si>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</si>
  <si>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</si>
  <si>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</si>
  <si>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 xml:space="preserve">   Ieņēmuma pozīcijas nosaukums             </t>
  </si>
  <si>
    <t>Kods</t>
  </si>
  <si>
    <t>Pielikums Nr.1</t>
  </si>
  <si>
    <t>Ogres novada domes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</si>
  <si>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</si>
  <si>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</si>
  <si>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</si>
  <si>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</si>
  <si>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</si>
  <si>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</si>
  <si>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</si>
  <si>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</si>
  <si>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</si>
  <si>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Kredīta atmaksa</t>
  </si>
  <si>
    <t>Finanšu - ekonomikas nodaļas vadītāja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</si>
  <si>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</si>
  <si>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</si>
  <si>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</si>
  <si>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</si>
  <si>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</si>
  <si>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</si>
  <si>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</si>
  <si>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</si>
  <si>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</si>
  <si>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</si>
  <si>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</si>
  <si>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</si>
  <si>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</si>
  <si>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</si>
  <si>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</si>
  <si>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</si>
  <si>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</si>
  <si>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</si>
  <si>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</si>
  <si>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</si>
  <si>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</si>
  <si>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</si>
  <si>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</si>
  <si>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</si>
  <si>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</si>
  <si>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</si>
  <si>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</si>
  <si>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</si>
  <si>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</si>
  <si>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</si>
  <si>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</si>
  <si>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</si>
  <si>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</si>
  <si>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</si>
  <si>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</si>
  <si>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</si>
  <si>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</si>
  <si>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</si>
  <si>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</si>
  <si>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</si>
  <si>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Līdzekļi, kas nododami finanšu izlīdzināšanas fondam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</si>
  <si>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</si>
  <si>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</si>
  <si>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</si>
  <si>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</si>
  <si>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</si>
  <si>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</si>
  <si>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</si>
  <si>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</si>
  <si>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</si>
  <si>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</si>
  <si>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</si>
  <si>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</si>
  <si>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</si>
  <si>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</si>
  <si>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</si>
  <si>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</si>
  <si>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04.730</t>
  </si>
  <si>
    <t>Tūrisms</t>
  </si>
  <si>
    <t>Vides aizsardzība</t>
  </si>
  <si>
    <t>05.100</t>
  </si>
  <si>
    <t>Atkritumu apsaimniekošana</t>
  </si>
  <si>
    <t>Notekūdeņu apsaimniekošana</t>
  </si>
  <si>
    <t xml:space="preserve">       Notekūdeņu (savākšana un attīrīšana)</t>
  </si>
  <si>
    <t>Pašvaldības teritoriju un mājokļu apsaimniekošana</t>
  </si>
  <si>
    <t>06.200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</si>
  <si>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</si>
  <si>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</si>
  <si>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</si>
  <si>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</si>
  <si>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</si>
  <si>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</si>
  <si>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</si>
  <si>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</si>
  <si>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</si>
  <si>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 xml:space="preserve">       PA "Dziednīca"</t>
  </si>
  <si>
    <t xml:space="preserve">       Finansējums PA "Dziednīca"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</si>
  <si>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</si>
  <si>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</si>
  <si>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</si>
  <si>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</si>
  <si>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</si>
  <si>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</si>
  <si>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08.210</t>
  </si>
  <si>
    <t>08.220</t>
  </si>
  <si>
    <t>08.230</t>
  </si>
  <si>
    <t>08.290</t>
  </si>
  <si>
    <t>Televīzija</t>
  </si>
  <si>
    <t>08.330</t>
  </si>
  <si>
    <t>Izdevniecība ( Novada informatīvie izdevumi )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</si>
  <si>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</si>
  <si>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</si>
  <si>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</si>
  <si>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</si>
  <si>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</si>
  <si>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</si>
  <si>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</si>
  <si>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</si>
  <si>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</si>
  <si>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</si>
  <si>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</si>
  <si>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</si>
  <si>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</si>
  <si>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</si>
  <si>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</si>
  <si>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</si>
  <si>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</si>
  <si>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</si>
  <si>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</si>
  <si>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</si>
  <si>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</si>
  <si>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</si>
  <si>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</si>
  <si>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</si>
  <si>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Invalīdu biedrības Ogres nodaļa</t>
  </si>
  <si>
    <t>Neredzīgo biedrības Ogres nodaļa</t>
  </si>
  <si>
    <t>Politiski represēto klubam</t>
  </si>
  <si>
    <t>Basketbola skola</t>
  </si>
  <si>
    <t>Nemateriālie ieguldījumi</t>
  </si>
  <si>
    <t>13.0.0.0.</t>
  </si>
  <si>
    <t xml:space="preserve">       Lietus ūdens kanalizācija </t>
  </si>
  <si>
    <t xml:space="preserve">      Nevalstisko org.projektu atbalstam</t>
  </si>
  <si>
    <t xml:space="preserve">    Muzeji un izstādes</t>
  </si>
  <si>
    <t xml:space="preserve">          Gaidu un skautu muzejs</t>
  </si>
  <si>
    <t xml:space="preserve">    Finansējums PA "Ogres kultūras centrs"</t>
  </si>
  <si>
    <t xml:space="preserve">    Kultūras pasākumi</t>
  </si>
  <si>
    <t xml:space="preserve">    Pilsētas dekorēšana svētkiem</t>
  </si>
  <si>
    <t xml:space="preserve">    Pensionēto izglītības darbinieku pasāk.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</si>
  <si>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</si>
  <si>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</si>
  <si>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</si>
  <si>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</si>
  <si>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</si>
  <si>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</si>
  <si>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</si>
  <si>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</si>
  <si>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</si>
  <si>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</si>
  <si>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</si>
  <si>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10.3.0.0.</t>
  </si>
  <si>
    <t>Soda sankcijas par vispārējiem nodokļu maksāšanas pārkāpumiem</t>
  </si>
  <si>
    <t>12.3.0.0.</t>
  </si>
  <si>
    <t>19.1.0.0.</t>
  </si>
  <si>
    <t>21.3.4.0.</t>
  </si>
  <si>
    <t>Procentu ieņēmumi par maksas pakalpojumu un citu pašu ieņēmumu ieguldījumiem depozītā vai kontu atlikumiem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</si>
  <si>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</si>
  <si>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</si>
  <si>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</si>
  <si>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</si>
  <si>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</si>
  <si>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 dokumentu izsniegšanu un kancelejas pakalpojumiem</t>
  </si>
  <si>
    <t>F40 32 00 10</t>
  </si>
  <si>
    <t>Attīstības programmas izstrādei</t>
  </si>
  <si>
    <t>04.430</t>
  </si>
  <si>
    <t>Būvvalde</t>
  </si>
  <si>
    <t>Ielu tīrīšanai, atkritumu savākšanai,teritoriju labiekārtošanai</t>
  </si>
  <si>
    <t xml:space="preserve">       Ūdenssaimn. TEP izstrāde Ogres nov.pag.</t>
  </si>
  <si>
    <t>Mājokļu attīstība pašvaldībā</t>
  </si>
  <si>
    <t>Energoefekt. paaugstin. pašvald. ēkās Dziedn., Bask-sk.,J v-sk.,Brīvības33</t>
  </si>
  <si>
    <t>Energoauditu atzinumi</t>
  </si>
  <si>
    <t xml:space="preserve">      Pārējie izdevumi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</si>
  <si>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</si>
  <si>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</si>
  <si>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</si>
  <si>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</si>
  <si>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</si>
  <si>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</si>
  <si>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</si>
  <si>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Taurupes vidusskola</t>
  </si>
  <si>
    <t>Suntažu vidusskola</t>
  </si>
  <si>
    <t>Lauberes pamatskola</t>
  </si>
  <si>
    <t>Suntažu sanatorijas internātpamatskola</t>
  </si>
  <si>
    <t>Madlienas mūzikas un mākslas skola</t>
  </si>
  <si>
    <t>09.520</t>
  </si>
  <si>
    <t>Pedagogu profesionālās meistarības pilnveidošana</t>
  </si>
  <si>
    <t>ESF proj. Pedagogu konkurētspējas veicināšanai</t>
  </si>
  <si>
    <t>09.600</t>
  </si>
  <si>
    <t>Izglītības papildu pakalpojumi</t>
  </si>
  <si>
    <t>09.810</t>
  </si>
  <si>
    <t xml:space="preserve">         Projekts "Izglītības iestāžu informatizācija" </t>
  </si>
  <si>
    <t xml:space="preserve">         Projekts "Comenius " - Madlienas vidussk.</t>
  </si>
  <si>
    <t xml:space="preserve">         Projekts "Grundtvig " - 1.vidusskola</t>
  </si>
  <si>
    <t xml:space="preserve">         Projekts "Comenius " - Suntažu vidussk.</t>
  </si>
  <si>
    <t xml:space="preserve">         Projekts "Comenius " - 1.vidusskola</t>
  </si>
  <si>
    <t>10.500</t>
  </si>
  <si>
    <t>Atbalsts bezdarba gadījumā</t>
  </si>
  <si>
    <t xml:space="preserve">Sabiedriskās organizācijas </t>
  </si>
  <si>
    <t>Bērnu nams "Laubere"</t>
  </si>
  <si>
    <t>Pansionāts "Madliena"</t>
  </si>
  <si>
    <t>Latvijas nacionālo karavīru biedrība</t>
  </si>
  <si>
    <t>F40 32 00 20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</si>
  <si>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</si>
  <si>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</si>
  <si>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</si>
  <si>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</si>
  <si>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</si>
  <si>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Procentu maksājumi iekšzemes kredītiestādēm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</si>
  <si>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</si>
  <si>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</si>
  <si>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</si>
  <si>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</si>
  <si>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</si>
  <si>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Zaudējumi no valūtas kursa svārstībām</t>
  </si>
  <si>
    <t>21.1.0.0.</t>
  </si>
  <si>
    <t xml:space="preserve">Budžeta iestādes ieņēmumi no ārvalstu finanšu palīdzības </t>
  </si>
  <si>
    <t xml:space="preserve">    Dalībai dziesmu un deju svētkos</t>
  </si>
  <si>
    <t>F56010000</t>
  </si>
  <si>
    <t>Kapitālieguldījumu fondu akcijas</t>
  </si>
  <si>
    <t>Atalgojums</t>
  </si>
  <si>
    <t>Projekts Skolēnu autobusi (Šveice)</t>
  </si>
  <si>
    <t>Projekts Skolēnu autobusi (Soc.droš.tīkls)</t>
  </si>
  <si>
    <t>10.400</t>
  </si>
  <si>
    <t>Atbalsts ģimenēm ar bērniem (Bāriņtiesas)</t>
  </si>
  <si>
    <t>Proj. "Speciālistu piesaiste"</t>
  </si>
  <si>
    <t>Projekts "Comenius Regio projekts"</t>
  </si>
  <si>
    <t xml:space="preserve">      PA "Ogres un Ikšķiles tūrisma attīstības aģentūra" </t>
  </si>
  <si>
    <t>Ūdenssaimniecības attīstības projekti pagastos</t>
  </si>
  <si>
    <t>F55 01 00 11</t>
  </si>
  <si>
    <t>Novadu kapacitāte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</si>
  <si>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</si>
  <si>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</si>
  <si>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</si>
  <si>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</si>
  <si>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</si>
  <si>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</si>
  <si>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Pašvaldības iestāžu saņemtie transferti no augstākstāvošās iestādes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</si>
  <si>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</si>
  <si>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</si>
  <si>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</si>
  <si>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</si>
  <si>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</si>
  <si>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>01.8301</t>
  </si>
  <si>
    <t>01.8302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</si>
  <si>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</si>
  <si>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</si>
  <si>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</si>
  <si>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</si>
  <si>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</si>
  <si>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>04.11102</t>
  </si>
  <si>
    <t>04.11103</t>
  </si>
  <si>
    <t>04.11104</t>
  </si>
  <si>
    <t>Young Active Creative</t>
  </si>
  <si>
    <t>04.11105</t>
  </si>
  <si>
    <t>04.11106</t>
  </si>
  <si>
    <t>Projektu pieteikumu un Ogres novada Startēģijas izstrāde</t>
  </si>
  <si>
    <t>04.11107</t>
  </si>
  <si>
    <t>Starptautiskā Kapacitāte</t>
  </si>
  <si>
    <t>04.11108</t>
  </si>
  <si>
    <t>Pilsētu mēru pakts CONURBANT</t>
  </si>
  <si>
    <t xml:space="preserve">Lauksaimniecība </t>
  </si>
  <si>
    <t>04.51001</t>
  </si>
  <si>
    <t>04.51002</t>
  </si>
  <si>
    <t>04.51003</t>
  </si>
  <si>
    <t>Projekts Atbalsts novadu attīstībai ERAF (Brīvības ielas rekonstrukcija)</t>
  </si>
  <si>
    <t>04.51004</t>
  </si>
  <si>
    <t>Pārējais autotransports</t>
  </si>
  <si>
    <t>04.51005</t>
  </si>
  <si>
    <t>LAD Ogres novada Krapes pag.esošā tilta pār Lobes upi vienkārš.rekonstr.</t>
  </si>
  <si>
    <t>04.6001</t>
  </si>
  <si>
    <t>04.7301</t>
  </si>
  <si>
    <t>05.1001</t>
  </si>
  <si>
    <t>05.1002</t>
  </si>
  <si>
    <t>Proj. Sadzīves atkritumu izgāztuves ''Ķilupe'' rekultivācija</t>
  </si>
  <si>
    <t>05.1003</t>
  </si>
  <si>
    <t>Proj. RECO Baltic tech 21</t>
  </si>
  <si>
    <t>05.1004</t>
  </si>
  <si>
    <t>LAD Ogres novada Madlienas atklātā peldbaseina atjaunoš. un peldvietas labiek.</t>
  </si>
  <si>
    <t>05.2001</t>
  </si>
  <si>
    <t>05.2002</t>
  </si>
  <si>
    <t>05.2003</t>
  </si>
  <si>
    <t>05.300</t>
  </si>
  <si>
    <t>Vides piesārņojuma novēršana un samazināšana</t>
  </si>
  <si>
    <t>05.30001</t>
  </si>
  <si>
    <t>05.30002</t>
  </si>
  <si>
    <t>05.400</t>
  </si>
  <si>
    <t>Bioloģiskās daudzveidības un ainavas aizsardzība</t>
  </si>
  <si>
    <t>Teritoriju attīstība ( projektēšanai )</t>
  </si>
  <si>
    <t>06.3001</t>
  </si>
  <si>
    <t>06.60001</t>
  </si>
  <si>
    <t>06.60002</t>
  </si>
  <si>
    <t>06.60003</t>
  </si>
  <si>
    <t>06.60004</t>
  </si>
  <si>
    <t xml:space="preserve">      Proj. Ogres  apgaismojuma infrastruktūra</t>
  </si>
  <si>
    <t>06.60005</t>
  </si>
  <si>
    <t>06.60006</t>
  </si>
  <si>
    <t>06.60007</t>
  </si>
  <si>
    <t>06.60008</t>
  </si>
  <si>
    <t>06.60009</t>
  </si>
  <si>
    <t>06.60010</t>
  </si>
  <si>
    <t xml:space="preserve">      Saimniecības nodaļa</t>
  </si>
  <si>
    <t>07.2101</t>
  </si>
  <si>
    <t>07.2102</t>
  </si>
  <si>
    <t>08.1001</t>
  </si>
  <si>
    <t>08.1002</t>
  </si>
  <si>
    <t>08.2201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</si>
  <si>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</si>
  <si>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</si>
  <si>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</si>
  <si>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</si>
  <si>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</si>
  <si>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</si>
  <si>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08.29004</t>
  </si>
  <si>
    <t>08.29005</t>
  </si>
  <si>
    <t>08.29006</t>
  </si>
  <si>
    <t>Projekts  Brīvdabas pulcēšanās vietas izveide Līčupē</t>
  </si>
  <si>
    <t>08.29007</t>
  </si>
  <si>
    <t>LAD Tautas tērpu iegāde Ogres novada Ķeipenes tautas nama deju kol.</t>
  </si>
  <si>
    <t>08.310</t>
  </si>
  <si>
    <t xml:space="preserve">Pirmsskolas izglītība 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</si>
  <si>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</si>
  <si>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</si>
  <si>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</si>
  <si>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</si>
  <si>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</si>
  <si>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</si>
  <si>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</si>
  <si>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</si>
  <si>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</si>
  <si>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</si>
  <si>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Finansējums bērniem, kuri apmeklē privātās pirmsskolas izglītūibas iestādes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</si>
  <si>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</si>
  <si>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</si>
  <si>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</si>
  <si>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</si>
  <si>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</si>
  <si>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</si>
  <si>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</si>
  <si>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</si>
  <si>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</si>
  <si>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</si>
  <si>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</si>
  <si>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09.21909</t>
  </si>
  <si>
    <t>09.21910</t>
  </si>
  <si>
    <t>09.5101</t>
  </si>
  <si>
    <t>09.5102</t>
  </si>
  <si>
    <t>09.5103</t>
  </si>
  <si>
    <t>09.5104</t>
  </si>
  <si>
    <t>09.5105</t>
  </si>
  <si>
    <t>09.5106</t>
  </si>
  <si>
    <t>09.5201</t>
  </si>
  <si>
    <t>09.5202</t>
  </si>
  <si>
    <t>Pārējā izglītības vadība (Izglītības un sporta pārvalde)</t>
  </si>
  <si>
    <t>Pārējā citur neklasificētā izglītība (izglītības projektu realizācija)</t>
  </si>
  <si>
    <t>09.82001</t>
  </si>
  <si>
    <t>09.82002</t>
  </si>
  <si>
    <t>09.82003</t>
  </si>
  <si>
    <t xml:space="preserve">         Projekts "Comenius " - Ģimnāzija</t>
  </si>
  <si>
    <t>09.82004</t>
  </si>
  <si>
    <t>09.82005</t>
  </si>
  <si>
    <t>09.82006</t>
  </si>
  <si>
    <t>09.82007</t>
  </si>
  <si>
    <t>09.82008</t>
  </si>
  <si>
    <t>09.82009</t>
  </si>
  <si>
    <t>Projekts "Jaunie pētnieki" -  Jaunogres vidusskola</t>
  </si>
  <si>
    <t>09.82010</t>
  </si>
  <si>
    <t>09.82011</t>
  </si>
  <si>
    <t>09.82012</t>
  </si>
  <si>
    <t>10.70001</t>
  </si>
  <si>
    <t>10.70002</t>
  </si>
  <si>
    <t>10.70003</t>
  </si>
  <si>
    <t>Soc.dienas centra telpu uzturēšanai</t>
  </si>
  <si>
    <t>10.70004</t>
  </si>
  <si>
    <t>10.70005</t>
  </si>
  <si>
    <t>10.70006</t>
  </si>
  <si>
    <t>Pensionāru biedrību darbības atbalstam</t>
  </si>
  <si>
    <t>10.70007</t>
  </si>
  <si>
    <t>10.70008</t>
  </si>
  <si>
    <t>10.70009</t>
  </si>
  <si>
    <t>10.70010</t>
  </si>
  <si>
    <t>10.70011</t>
  </si>
  <si>
    <t>10.70012</t>
  </si>
  <si>
    <t>Līdzekļu atlikums uz gada beigām (Kases apgrozāmie līdzekļi )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</si>
  <si>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</si>
  <si>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</si>
  <si>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</si>
  <si>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Mācību, darba un dienesta komandējumi, dienesta, darba braucieni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</si>
  <si>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</si>
  <si>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</si>
  <si>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</si>
  <si>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</si>
  <si>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KF projekts "Normatīvo aktu prasībām neatbilstoša Ogres novada izgāztuves "Pinkas" rekultivācija(Krapes pagasts)</t>
  </si>
  <si>
    <t>05.1005</t>
  </si>
  <si>
    <t>08.29008</t>
  </si>
  <si>
    <t>06.100</t>
  </si>
  <si>
    <t>Taurupes Plaužu ezera pludmales labiekārtošanas darbi</t>
  </si>
  <si>
    <t>05.1006</t>
  </si>
  <si>
    <t>LAD Tautas tērpu iegāde Ogres novada Taurupes tautas nama deju kolektīvam</t>
  </si>
  <si>
    <t>10.70013</t>
  </si>
  <si>
    <t>Latvijas Sarkanā Krusta Ogres komiteja</t>
  </si>
  <si>
    <t>03.200</t>
  </si>
  <si>
    <t xml:space="preserve">Ogres un Ogresgala 2013.g. budžets </t>
  </si>
  <si>
    <t>Ogres novada pašvaldības 2013.gada budžeta ieņēmumi.</t>
  </si>
  <si>
    <t>Pašvald. aģentūras "Mālkalne" 2013.g. budžets</t>
  </si>
  <si>
    <t>Pašvald. aģentūras "Kultūras centrs" 2013.g. budžets</t>
  </si>
  <si>
    <t>Pašvald. aģentūras "Dziednīca" 2013.g. budžets</t>
  </si>
  <si>
    <t>PA "Ogres un Ikšķiles tūrisma attīst.aģent." 2013.g. budžets</t>
  </si>
  <si>
    <t>Suntažu pagasta pārvaldes 2013.g. budžets</t>
  </si>
  <si>
    <t>Lauberes pagasta pārvaldes 2013.g. budžets</t>
  </si>
  <si>
    <t>Ķeipenes pagasta pārvaldes 2013.g. budžets</t>
  </si>
  <si>
    <t>Madlienas pagasta pārvaldes 2013.g. budžets</t>
  </si>
  <si>
    <t>Krapes pagasta pārvaldes 2013.g. budžets</t>
  </si>
  <si>
    <t>Mazozolu pagasta pārvaldes 2013.g. budžets</t>
  </si>
  <si>
    <t>Meņģeles pagasta pārvaldes 2013.g. budžets</t>
  </si>
  <si>
    <t>Taurupes pagasta pārvaldes 2013.g. budžets</t>
  </si>
  <si>
    <t>Ogres novada pašvaldības 2013.g. budžets</t>
  </si>
  <si>
    <t>Ieņēmumi no pašvaldības īpašuma iznomāšanas, pārdošanas un nodokļu pamatparāda kapitaliz.</t>
  </si>
  <si>
    <t>Budžeta  atl.uz  01. 01. 2013.g.</t>
  </si>
  <si>
    <t>Ogres novada pašvaldības 2013. gada budžeta  izdevumi atbilstoši funkcionālajām kategorijām.</t>
  </si>
  <si>
    <t>Projekts Tīnūžu-Brīvības ielas rekonstrukcija 2.kārta</t>
  </si>
  <si>
    <t>04.51006</t>
  </si>
  <si>
    <t>ESTLAT Riverways Ogres upes promenāde</t>
  </si>
  <si>
    <t>05.30003</t>
  </si>
  <si>
    <t>Bērnudārzi Saulīte, Cīrulītis Energoefektivitāte 3</t>
  </si>
  <si>
    <t xml:space="preserve">       mājokļu apsaimniekošana</t>
  </si>
  <si>
    <t xml:space="preserve">       siltumapgāde</t>
  </si>
  <si>
    <t xml:space="preserve">       kapu saimniecība</t>
  </si>
  <si>
    <t xml:space="preserve">       Projekts "KNHM"</t>
  </si>
  <si>
    <t xml:space="preserve">       Projekts "Veidojam vidi ap mums </t>
  </si>
  <si>
    <t xml:space="preserve">      Īpašumu uzmērīšanai un reģistrēšanai Zemesgrāmatā, mežaudžu vērtības aktualizācijai</t>
  </si>
  <si>
    <t xml:space="preserve">          Vēstures un mākslas muzejs</t>
  </si>
  <si>
    <t>Projekts Ogres muzeja būvniecība</t>
  </si>
  <si>
    <t>08.29009</t>
  </si>
  <si>
    <t>Projekts ……</t>
  </si>
  <si>
    <t>PII infrastruktūras attīstība Ogres novadā (Kamolins)</t>
  </si>
  <si>
    <t>Ugunsaizsardzības sistēmas</t>
  </si>
  <si>
    <t>Ogres novada Krusts</t>
  </si>
  <si>
    <t>Ogres novada pašvaldības 2013. gada budžeta  izdevumi atbilstoši ekonomiskajām kategorijām.</t>
  </si>
  <si>
    <t>Kapitālo izdevumu transferti</t>
  </si>
  <si>
    <t>Zivju fonda projekts Strauta foreļu populācijas papildināšana Ogres upēs</t>
  </si>
  <si>
    <t>05.4001</t>
  </si>
  <si>
    <t>PSIA " MS siltums" pamatkapitāls</t>
  </si>
  <si>
    <t>06.60011</t>
  </si>
  <si>
    <t>Ugunsdrošības, glābšanas un civilās drošības dienesti</t>
  </si>
  <si>
    <t xml:space="preserve">      KPFI "Siltumnīcefekta gāzu emisiju samazin. Ogres pilsētas apgaismojuma infrastruktūra II kārta."</t>
  </si>
  <si>
    <t>18.07.2013. Saistošajiem noteikumiem Nr.18/2013</t>
  </si>
  <si>
    <t>Pielikums Nr.3</t>
  </si>
  <si>
    <t>Ogres novada pašvaldības</t>
  </si>
  <si>
    <t>Ogres novada pašvaldības 2013.gada speciālā budžeta ieņēmumi.</t>
  </si>
  <si>
    <t>5.5.3.0.</t>
  </si>
  <si>
    <t>Dabas resursu nodoklis</t>
  </si>
  <si>
    <t>8.6.2.0.</t>
  </si>
  <si>
    <t>Procentu ieņēmumi par kontu atlikumiem</t>
  </si>
  <si>
    <t>12.3.9.0.</t>
  </si>
  <si>
    <t>Citi dažādi nenodokļu ieņēmumi</t>
  </si>
  <si>
    <t xml:space="preserve">18.6.2.0. </t>
  </si>
  <si>
    <t>Pašvaldību saņemtie valsts budžeta transferti noteiktam mērķim</t>
  </si>
  <si>
    <t>21.4.0.0.</t>
  </si>
  <si>
    <t>F20010000</t>
  </si>
  <si>
    <t>Ogres novada pašvaldības 2013. gada speciālā budžeta  izdevumi atbilstoši funkcionālajām kategorijām.</t>
  </si>
  <si>
    <t>F40 02 00 20</t>
  </si>
  <si>
    <t>Atlikums gada beigās</t>
  </si>
  <si>
    <t>Darba samaksa</t>
  </si>
  <si>
    <t>Darba devēja valsts sociālās apdrošināšanas obligātās iemaksas, sociālā rakstura pabalsti un kompensācija</t>
  </si>
  <si>
    <t>Subsīdijas komersantiem, sabiedriskajām org. un citām institūcijām</t>
  </si>
  <si>
    <t>Pašvaldību budžeta uzturēšanas izdevumu transferti</t>
  </si>
  <si>
    <t>Ogres novada</t>
  </si>
  <si>
    <t xml:space="preserve">2013.gada speciālo budžetu </t>
  </si>
  <si>
    <t>kopsavilkums</t>
  </si>
  <si>
    <t>Budžeta nosaukumi</t>
  </si>
  <si>
    <t>Autoceļu (ielu) fonds</t>
  </si>
  <si>
    <t>Pārējie ieņēmumi</t>
  </si>
  <si>
    <t>Kopā           (Ls)</t>
  </si>
  <si>
    <t>2013.gada ieņēmumi</t>
  </si>
  <si>
    <t>Atlikums uz 01.01.2013.</t>
  </si>
  <si>
    <t>Pavisam ieņēmumi 2013.g.</t>
  </si>
  <si>
    <t>Izdevumi 2013.g.</t>
  </si>
  <si>
    <t>tai sk. Atalgojums (1100)</t>
  </si>
  <si>
    <t>Soc.nod.(1200)</t>
  </si>
  <si>
    <t>Atlikums uz 01.01.2014.g.</t>
  </si>
  <si>
    <t>Finanšu – ekonomikas nodaļas vadītāja</t>
  </si>
  <si>
    <t>S. Velberga</t>
  </si>
  <si>
    <t>Ogres novada Suntažu pagasta pārvaldes</t>
  </si>
  <si>
    <t>2013.gada speciālo budžetu kopsavilkums</t>
  </si>
  <si>
    <t>Kopā Ls</t>
  </si>
  <si>
    <t>Ogres novada Suntažu pagasta pārvaldes vadītājs:                                               A.Ronis</t>
  </si>
  <si>
    <t>Ogres novada Madlienas pagasta pārvaldes</t>
  </si>
  <si>
    <t>Ogres novada Madlienas pagasta pārvaldes vadītājs:                                  O.Atslēdziņš</t>
  </si>
  <si>
    <t>Ogres novada Meņģeles pagasta pārvaldes</t>
  </si>
  <si>
    <t>Ogres novada Meņģeles pagasta pārvaldes vadītājs:                              I.Jermacāne</t>
  </si>
  <si>
    <t>Ogres novada Ķeipenes pagasta pārvaldes</t>
  </si>
  <si>
    <t>F40 02 00 20 Kredīta atmaksa</t>
  </si>
  <si>
    <t>Ogres novada Ķeipenes pagasta pārvaldes vadītājs:                            V.Sirsonis</t>
  </si>
  <si>
    <t>Ogres novada Taurupes pagasta pārvaldes</t>
  </si>
  <si>
    <t>Ogres novada Taurupes pagasta pārvaldes vadītājs:                                        J.Stafeckis</t>
  </si>
  <si>
    <t>Ogres novada Mazozolu pagasta pārvaldes</t>
  </si>
  <si>
    <t>Ogres novada Mazozolu pagasta pārvaldes vadītāja p.i.:                                 J.Stafeckis</t>
  </si>
  <si>
    <t>Ogres novada Lauberes pagasta pārvaldes</t>
  </si>
  <si>
    <t>Ogres novada Lauberes pagasta pārvaldes vadītājs:                                    A.Misters</t>
  </si>
  <si>
    <t>Ogres novada Krapes pagasta pārvaldes</t>
  </si>
  <si>
    <t>Ogres novada Krapes pagasta pārvaldes vadītājs:                                           I.Sandore</t>
  </si>
  <si>
    <t>Pielikums Nr.4</t>
  </si>
  <si>
    <t>Ogres novada pašvaldības 2013.gada ziedojumu un dāvinālumu ieņēmumi.</t>
  </si>
  <si>
    <t>Ogres novada 2012.g. izpilde</t>
  </si>
  <si>
    <t xml:space="preserve">Ogres un Ogregala 2013.g. budžets </t>
  </si>
  <si>
    <t>Pašvald. aģentūras "Ogres novada kultūras centrs" 2013.g. budžets</t>
  </si>
  <si>
    <t>23.0.0.0.</t>
  </si>
  <si>
    <t>Saņemtie ziedojumi un dāvinājumi</t>
  </si>
  <si>
    <t>Ogres novada pašvaldības 2013. gada ziedojumu un dāvinājumu  izdevumi atbilstoši funkcionālajām kategorijām.</t>
  </si>
  <si>
    <t>Ogres novada pašvaldības 2013. gada ziedojumu un dāvinājumu  izdevumi atbilstoši ekonomiskajām kategorijām.</t>
  </si>
  <si>
    <t>Pensijas un sociālie pabalsti naudā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</si>
</sst>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"/>
    <numFmt numFmtId="182" formatCode="0.000"/>
    <numFmt numFmtId="183" formatCode="0.0%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#,##0.0"/>
    <numFmt numFmtId="191" formatCode="_-* #,##0.0_-;\-* #,##0.0_-;_-* &quot;-&quot;??_-;_-@_-"/>
    <numFmt numFmtId="192" formatCode="_-* #,##0_-;\-* #,##0_-;_-* &quot;-&quot;??_-;_-@_-"/>
    <numFmt numFmtId="193" formatCode="_-&quot;Ls&quot;\ * #,##0.0_-;\-&quot;Ls&quot;\ * #,##0.0_-;_-&quot;Ls&quot;\ * &quot;-&quot;??_-;_-@_-"/>
    <numFmt numFmtId="194" formatCode="_-&quot;Ls&quot;\ * #,##0_-;\-&quot;Ls&quot;\ * #,##0_-;_-&quot;Ls&quot;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"/>
    <numFmt numFmtId="199" formatCode="000000"/>
    <numFmt numFmtId="200" formatCode="dd/mm/yy"/>
    <numFmt numFmtId="201" formatCode="[$€-2]\ #,##0.00_);[Red]\([$€-2]\ #,##0.00\)"/>
    <numFmt numFmtId="202" formatCode="#,##0.000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1" applyNumberFormat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20" fillId="16" borderId="2" applyNumberFormat="0" applyAlignment="0" applyProtection="0"/>
    <xf numFmtId="0" fontId="22" fillId="0" borderId="3" applyNumberFormat="0" applyFill="0" applyAlignment="0" applyProtection="0"/>
    <xf numFmtId="0" fontId="12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" fillId="3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52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190" fontId="2" fillId="0" borderId="1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2" fillId="0" borderId="20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left" indent="1"/>
    </xf>
    <xf numFmtId="0" fontId="2" fillId="0" borderId="15" xfId="0" applyFont="1" applyFill="1" applyBorder="1" applyAlignment="1" applyProtection="1">
      <alignment horizontal="left" wrapText="1"/>
      <protection/>
    </xf>
    <xf numFmtId="3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19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right" wrapText="1"/>
    </xf>
    <xf numFmtId="49" fontId="3" fillId="0" borderId="26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180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180" fontId="2" fillId="0" borderId="2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2" fillId="0" borderId="2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3" fillId="0" borderId="20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wrapText="1"/>
    </xf>
    <xf numFmtId="1" fontId="2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wrapText="1"/>
    </xf>
    <xf numFmtId="3" fontId="3" fillId="0" borderId="3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3" fontId="3" fillId="0" borderId="36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180" fontId="2" fillId="0" borderId="2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right" wrapText="1"/>
    </xf>
    <xf numFmtId="3" fontId="28" fillId="0" borderId="0" xfId="0" applyNumberFormat="1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left" wrapText="1"/>
    </xf>
    <xf numFmtId="3" fontId="3" fillId="0" borderId="38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4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80" fontId="3" fillId="0" borderId="35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12" xfId="56" applyFont="1" applyFill="1" applyBorder="1" applyAlignment="1">
      <alignment vertical="center" wrapText="1"/>
      <protection/>
    </xf>
    <xf numFmtId="0" fontId="2" fillId="0" borderId="13" xfId="56" applyFont="1" applyFill="1" applyBorder="1" applyAlignment="1">
      <alignment vertical="center" wrapText="1"/>
      <protection/>
    </xf>
    <xf numFmtId="3" fontId="2" fillId="0" borderId="44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46" xfId="56" applyFont="1" applyFill="1" applyBorder="1" applyAlignment="1">
      <alignment vertical="center" wrapText="1"/>
      <protection/>
    </xf>
    <xf numFmtId="3" fontId="3" fillId="0" borderId="46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80" fontId="2" fillId="0" borderId="48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1" fontId="2" fillId="0" borderId="47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180" fontId="2" fillId="0" borderId="47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0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48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1" fontId="2" fillId="0" borderId="48" xfId="0" applyNumberFormat="1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180" fontId="2" fillId="0" borderId="39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1" fontId="0" fillId="0" borderId="22" xfId="0" applyNumberFormat="1" applyFont="1" applyFill="1" applyBorder="1" applyAlignment="1">
      <alignment/>
    </xf>
    <xf numFmtId="180" fontId="3" fillId="0" borderId="22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" fontId="3" fillId="0" borderId="40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52" applyFont="1" applyFill="1" applyBorder="1" applyAlignment="1">
      <alignment horizontal="left" wrapText="1"/>
      <protection/>
    </xf>
    <xf numFmtId="3" fontId="28" fillId="0" borderId="0" xfId="0" applyNumberFormat="1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2" fillId="0" borderId="15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>
      <alignment/>
    </xf>
    <xf numFmtId="49" fontId="28" fillId="0" borderId="26" xfId="0" applyNumberFormat="1" applyFont="1" applyFill="1" applyBorder="1" applyAlignment="1">
      <alignment horizontal="right"/>
    </xf>
    <xf numFmtId="0" fontId="28" fillId="0" borderId="23" xfId="0" applyFont="1" applyFill="1" applyBorder="1" applyAlignment="1">
      <alignment horizontal="left" wrapText="1"/>
    </xf>
    <xf numFmtId="3" fontId="3" fillId="0" borderId="40" xfId="0" applyNumberFormat="1" applyFont="1" applyFill="1" applyBorder="1" applyAlignment="1">
      <alignment/>
    </xf>
    <xf numFmtId="180" fontId="2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53" xfId="0" applyFont="1" applyFill="1" applyBorder="1" applyAlignment="1">
      <alignment wrapText="1"/>
    </xf>
    <xf numFmtId="0" fontId="2" fillId="0" borderId="4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2" fillId="0" borderId="27" xfId="0" applyNumberFormat="1" applyFont="1" applyFill="1" applyBorder="1" applyAlignment="1">
      <alignment/>
    </xf>
    <xf numFmtId="1" fontId="2" fillId="0" borderId="54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80" fontId="2" fillId="0" borderId="27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0" fontId="2" fillId="0" borderId="22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0" fontId="29" fillId="0" borderId="35" xfId="0" applyFont="1" applyBorder="1" applyAlignment="1">
      <alignment wrapText="1"/>
    </xf>
    <xf numFmtId="0" fontId="2" fillId="0" borderId="35" xfId="0" applyFont="1" applyFill="1" applyBorder="1" applyAlignment="1" applyProtection="1">
      <alignment/>
      <protection/>
    </xf>
    <xf numFmtId="49" fontId="2" fillId="0" borderId="56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 horizontal="left" wrapText="1"/>
    </xf>
    <xf numFmtId="3" fontId="2" fillId="0" borderId="57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2" fillId="0" borderId="0" xfId="53" applyFont="1" applyFill="1">
      <alignment/>
      <protection/>
    </xf>
    <xf numFmtId="3" fontId="2" fillId="0" borderId="0" xfId="53" applyNumberFormat="1" applyFont="1" applyFill="1" applyAlignment="1">
      <alignment wrapText="1"/>
      <protection/>
    </xf>
    <xf numFmtId="0" fontId="2" fillId="0" borderId="0" xfId="53" applyFont="1" applyFill="1" applyAlignment="1">
      <alignment horizontal="left"/>
      <protection/>
    </xf>
    <xf numFmtId="0" fontId="24" fillId="0" borderId="0" xfId="53" applyFont="1" applyFill="1" applyAlignment="1">
      <alignment/>
      <protection/>
    </xf>
    <xf numFmtId="0" fontId="26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25" fillId="0" borderId="11" xfId="53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 applyProtection="1">
      <alignment horizontal="center" vertical="center" wrapText="1"/>
      <protection/>
    </xf>
    <xf numFmtId="0" fontId="2" fillId="0" borderId="46" xfId="55" applyFont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>
      <alignment horizontal="right"/>
      <protection/>
    </xf>
    <xf numFmtId="0" fontId="3" fillId="0" borderId="15" xfId="53" applyFont="1" applyFill="1" applyBorder="1" applyAlignment="1">
      <alignment wrapText="1"/>
      <protection/>
    </xf>
    <xf numFmtId="3" fontId="3" fillId="0" borderId="15" xfId="53" applyNumberFormat="1" applyFont="1" applyFill="1" applyBorder="1">
      <alignment/>
      <protection/>
    </xf>
    <xf numFmtId="3" fontId="3" fillId="0" borderId="17" xfId="53" applyNumberFormat="1" applyFont="1" applyFill="1" applyBorder="1">
      <alignment/>
      <protection/>
    </xf>
    <xf numFmtId="180" fontId="2" fillId="0" borderId="0" xfId="53" applyNumberFormat="1" applyFont="1" applyFill="1">
      <alignment/>
      <protection/>
    </xf>
    <xf numFmtId="0" fontId="2" fillId="0" borderId="18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wrapText="1"/>
      <protection/>
    </xf>
    <xf numFmtId="3" fontId="2" fillId="0" borderId="10" xfId="53" applyNumberFormat="1" applyFont="1" applyFill="1" applyBorder="1">
      <alignment/>
      <protection/>
    </xf>
    <xf numFmtId="3" fontId="2" fillId="0" borderId="17" xfId="53" applyNumberFormat="1" applyFont="1" applyFill="1" applyBorder="1">
      <alignment/>
      <protection/>
    </xf>
    <xf numFmtId="0" fontId="3" fillId="0" borderId="18" xfId="53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3" fontId="3" fillId="0" borderId="10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1" fontId="2" fillId="0" borderId="21" xfId="53" applyNumberFormat="1" applyFont="1" applyFill="1" applyBorder="1">
      <alignment/>
      <protection/>
    </xf>
    <xf numFmtId="180" fontId="2" fillId="0" borderId="10" xfId="53" applyNumberFormat="1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2" fillId="0" borderId="20" xfId="53" applyFont="1" applyFill="1" applyBorder="1">
      <alignment/>
      <protection/>
    </xf>
    <xf numFmtId="0" fontId="3" fillId="0" borderId="18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wrapText="1"/>
      <protection/>
    </xf>
    <xf numFmtId="3" fontId="3" fillId="0" borderId="10" xfId="53" applyNumberFormat="1" applyFont="1" applyFill="1" applyBorder="1">
      <alignment/>
      <protection/>
    </xf>
    <xf numFmtId="1" fontId="3" fillId="0" borderId="22" xfId="53" applyNumberFormat="1" applyFont="1" applyFill="1" applyBorder="1">
      <alignment/>
      <protection/>
    </xf>
    <xf numFmtId="180" fontId="3" fillId="0" borderId="20" xfId="53" applyNumberFormat="1" applyFont="1" applyFill="1" applyBorder="1">
      <alignment/>
      <protection/>
    </xf>
    <xf numFmtId="0" fontId="3" fillId="0" borderId="2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8" xfId="53" applyFont="1" applyFill="1" applyBorder="1" applyAlignment="1">
      <alignment horizontal="left"/>
      <protection/>
    </xf>
    <xf numFmtId="0" fontId="2" fillId="0" borderId="18" xfId="53" applyFont="1" applyFill="1" applyBorder="1" applyAlignment="1">
      <alignment horizontal="right"/>
      <protection/>
    </xf>
    <xf numFmtId="3" fontId="3" fillId="0" borderId="21" xfId="53" applyNumberFormat="1" applyFont="1" applyFill="1" applyBorder="1">
      <alignment/>
      <protection/>
    </xf>
    <xf numFmtId="1" fontId="2" fillId="0" borderId="10" xfId="53" applyNumberFormat="1" applyFont="1" applyFill="1" applyBorder="1">
      <alignment/>
      <protection/>
    </xf>
    <xf numFmtId="0" fontId="3" fillId="0" borderId="26" xfId="53" applyFont="1" applyFill="1" applyBorder="1" applyAlignment="1">
      <alignment horizontal="right"/>
      <protection/>
    </xf>
    <xf numFmtId="0" fontId="3" fillId="0" borderId="23" xfId="53" applyFont="1" applyFill="1" applyBorder="1" applyAlignment="1">
      <alignment wrapText="1"/>
      <protection/>
    </xf>
    <xf numFmtId="3" fontId="3" fillId="0" borderId="23" xfId="53" applyNumberFormat="1" applyFont="1" applyFill="1" applyBorder="1">
      <alignment/>
      <protection/>
    </xf>
    <xf numFmtId="1" fontId="3" fillId="0" borderId="48" xfId="53" applyNumberFormat="1" applyFont="1" applyFill="1" applyBorder="1">
      <alignment/>
      <protection/>
    </xf>
    <xf numFmtId="1" fontId="3" fillId="0" borderId="23" xfId="53" applyNumberFormat="1" applyFont="1" applyFill="1" applyBorder="1">
      <alignment/>
      <protection/>
    </xf>
    <xf numFmtId="0" fontId="3" fillId="0" borderId="23" xfId="53" applyFont="1" applyFill="1" applyBorder="1">
      <alignment/>
      <protection/>
    </xf>
    <xf numFmtId="0" fontId="3" fillId="0" borderId="24" xfId="53" applyFont="1" applyFill="1" applyBorder="1">
      <alignment/>
      <protection/>
    </xf>
    <xf numFmtId="3" fontId="3" fillId="0" borderId="28" xfId="53" applyNumberFormat="1" applyFont="1" applyFill="1" applyBorder="1">
      <alignment/>
      <protection/>
    </xf>
    <xf numFmtId="0" fontId="3" fillId="0" borderId="0" xfId="53" applyFont="1" applyFill="1">
      <alignment/>
      <protection/>
    </xf>
    <xf numFmtId="0" fontId="2" fillId="0" borderId="11" xfId="53" applyFont="1" applyFill="1" applyBorder="1" applyAlignment="1">
      <alignment horizontal="right"/>
      <protection/>
    </xf>
    <xf numFmtId="0" fontId="3" fillId="0" borderId="12" xfId="53" applyFont="1" applyFill="1" applyBorder="1" applyAlignment="1">
      <alignment horizontal="right" wrapText="1"/>
      <protection/>
    </xf>
    <xf numFmtId="3" fontId="3" fillId="0" borderId="12" xfId="53" applyNumberFormat="1" applyFont="1" applyFill="1" applyBorder="1" applyAlignment="1">
      <alignment horizontal="center"/>
      <protection/>
    </xf>
    <xf numFmtId="3" fontId="3" fillId="0" borderId="14" xfId="53" applyNumberFormat="1" applyFont="1" applyFill="1" applyBorder="1">
      <alignment/>
      <protection/>
    </xf>
    <xf numFmtId="3" fontId="2" fillId="0" borderId="0" xfId="53" applyNumberFormat="1" applyFont="1" applyFill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15" xfId="53" applyFont="1" applyFill="1" applyBorder="1" applyAlignment="1" applyProtection="1">
      <alignment horizontal="left" wrapText="1"/>
      <protection/>
    </xf>
    <xf numFmtId="3" fontId="2" fillId="0" borderId="15" xfId="53" applyNumberFormat="1" applyFont="1" applyFill="1" applyBorder="1" applyAlignment="1" applyProtection="1">
      <alignment horizontal="center"/>
      <protection/>
    </xf>
    <xf numFmtId="0" fontId="3" fillId="0" borderId="10" xfId="53" applyFont="1" applyFill="1" applyBorder="1" applyProtection="1">
      <alignment/>
      <protection/>
    </xf>
    <xf numFmtId="0" fontId="2" fillId="0" borderId="10" xfId="53" applyFont="1" applyFill="1" applyBorder="1" applyAlignment="1" applyProtection="1">
      <alignment horizontal="left" wrapText="1"/>
      <protection/>
    </xf>
    <xf numFmtId="3" fontId="3" fillId="0" borderId="10" xfId="53" applyNumberFormat="1" applyFont="1" applyFill="1" applyBorder="1" applyAlignment="1" applyProtection="1">
      <alignment horizontal="center"/>
      <protection/>
    </xf>
    <xf numFmtId="0" fontId="2" fillId="0" borderId="0" xfId="53" applyFont="1" applyFill="1" applyAlignment="1">
      <alignment wrapText="1"/>
      <protection/>
    </xf>
    <xf numFmtId="0" fontId="0" fillId="0" borderId="0" xfId="57" applyFont="1">
      <alignment/>
      <protection/>
    </xf>
    <xf numFmtId="49" fontId="3" fillId="0" borderId="11" xfId="53" applyNumberFormat="1" applyFont="1" applyFill="1" applyBorder="1" applyAlignment="1">
      <alignment horizontal="left"/>
      <protection/>
    </xf>
    <xf numFmtId="0" fontId="3" fillId="0" borderId="12" xfId="53" applyFont="1" applyFill="1" applyBorder="1" applyAlignment="1">
      <alignment wrapText="1"/>
      <protection/>
    </xf>
    <xf numFmtId="3" fontId="3" fillId="0" borderId="13" xfId="53" applyNumberFormat="1" applyFont="1" applyFill="1" applyBorder="1">
      <alignment/>
      <protection/>
    </xf>
    <xf numFmtId="0" fontId="3" fillId="0" borderId="12" xfId="53" applyFont="1" applyFill="1" applyBorder="1" applyAlignment="1">
      <alignment horizontal="left" wrapText="1"/>
      <protection/>
    </xf>
    <xf numFmtId="3" fontId="28" fillId="0" borderId="13" xfId="53" applyNumberFormat="1" applyFont="1" applyFill="1" applyBorder="1">
      <alignment/>
      <protection/>
    </xf>
    <xf numFmtId="0" fontId="2" fillId="0" borderId="11" xfId="53" applyFont="1" applyFill="1" applyBorder="1">
      <alignment/>
      <protection/>
    </xf>
    <xf numFmtId="3" fontId="3" fillId="0" borderId="12" xfId="53" applyNumberFormat="1" applyFont="1" applyFill="1" applyBorder="1" applyAlignment="1">
      <alignment wrapText="1"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3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horizontal="left" wrapText="1"/>
      <protection/>
    </xf>
    <xf numFmtId="3" fontId="3" fillId="0" borderId="0" xfId="53" applyNumberFormat="1" applyFont="1" applyBorder="1">
      <alignment/>
      <protection/>
    </xf>
    <xf numFmtId="0" fontId="3" fillId="0" borderId="37" xfId="53" applyFont="1" applyBorder="1" applyAlignment="1">
      <alignment horizontal="left"/>
      <protection/>
    </xf>
    <xf numFmtId="0" fontId="3" fillId="0" borderId="35" xfId="53" applyFont="1" applyBorder="1" applyAlignment="1">
      <alignment wrapText="1"/>
      <protection/>
    </xf>
    <xf numFmtId="0" fontId="3" fillId="0" borderId="35" xfId="53" applyFont="1" applyFill="1" applyBorder="1">
      <alignment/>
      <protection/>
    </xf>
    <xf numFmtId="0" fontId="3" fillId="0" borderId="36" xfId="53" applyFont="1" applyFill="1" applyBorder="1">
      <alignment/>
      <protection/>
    </xf>
    <xf numFmtId="0" fontId="3" fillId="0" borderId="38" xfId="53" applyFont="1" applyFill="1" applyBorder="1">
      <alignment/>
      <protection/>
    </xf>
    <xf numFmtId="0" fontId="3" fillId="0" borderId="26" xfId="53" applyFont="1" applyBorder="1" applyAlignment="1">
      <alignment horizontal="left"/>
      <protection/>
    </xf>
    <xf numFmtId="0" fontId="3" fillId="0" borderId="23" xfId="53" applyFont="1" applyBorder="1" applyAlignment="1">
      <alignment wrapText="1"/>
      <protection/>
    </xf>
    <xf numFmtId="0" fontId="3" fillId="0" borderId="58" xfId="53" applyFont="1" applyFill="1" applyBorder="1">
      <alignment/>
      <protection/>
    </xf>
    <xf numFmtId="0" fontId="3" fillId="0" borderId="11" xfId="53" applyFont="1" applyBorder="1" applyAlignment="1">
      <alignment horizontal="left"/>
      <protection/>
    </xf>
    <xf numFmtId="0" fontId="3" fillId="0" borderId="12" xfId="53" applyFont="1" applyBorder="1" applyAlignment="1">
      <alignment wrapText="1"/>
      <protection/>
    </xf>
    <xf numFmtId="0" fontId="3" fillId="0" borderId="12" xfId="53" applyFont="1" applyFill="1" applyBorder="1">
      <alignment/>
      <protection/>
    </xf>
    <xf numFmtId="0" fontId="3" fillId="0" borderId="13" xfId="53" applyFont="1" applyFill="1" applyBorder="1">
      <alignment/>
      <protection/>
    </xf>
    <xf numFmtId="0" fontId="3" fillId="0" borderId="14" xfId="53" applyFont="1" applyFill="1" applyBorder="1">
      <alignment/>
      <protection/>
    </xf>
    <xf numFmtId="0" fontId="3" fillId="0" borderId="25" xfId="53" applyFont="1" applyBorder="1" applyAlignment="1">
      <alignment horizontal="left"/>
      <protection/>
    </xf>
    <xf numFmtId="0" fontId="3" fillId="0" borderId="15" xfId="53" applyFont="1" applyBorder="1" applyAlignment="1">
      <alignment wrapText="1"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Fill="1" applyBorder="1">
      <alignment/>
      <protection/>
    </xf>
    <xf numFmtId="0" fontId="3" fillId="0" borderId="18" xfId="53" applyFont="1" applyBorder="1" applyAlignment="1">
      <alignment horizontal="left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0" fontId="3" fillId="0" borderId="20" xfId="53" applyFont="1" applyFill="1" applyBorder="1">
      <alignment/>
      <protection/>
    </xf>
    <xf numFmtId="0" fontId="3" fillId="0" borderId="19" xfId="53" applyFont="1" applyFill="1" applyBorder="1">
      <alignment/>
      <protection/>
    </xf>
    <xf numFmtId="0" fontId="3" fillId="0" borderId="19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29" xfId="53" applyFont="1" applyBorder="1" applyAlignment="1">
      <alignment wrapText="1"/>
      <protection/>
    </xf>
    <xf numFmtId="0" fontId="3" fillId="0" borderId="47" xfId="60" applyFont="1" applyBorder="1" applyAlignment="1">
      <alignment horizontal="right" wrapText="1"/>
      <protection/>
    </xf>
    <xf numFmtId="0" fontId="3" fillId="0" borderId="29" xfId="53" applyFont="1" applyFill="1" applyBorder="1">
      <alignment/>
      <protection/>
    </xf>
    <xf numFmtId="0" fontId="3" fillId="0" borderId="27" xfId="53" applyFont="1" applyFill="1" applyBorder="1">
      <alignment/>
      <protection/>
    </xf>
    <xf numFmtId="0" fontId="2" fillId="0" borderId="11" xfId="53" applyFont="1" applyBorder="1">
      <alignment/>
      <protection/>
    </xf>
    <xf numFmtId="0" fontId="3" fillId="0" borderId="12" xfId="53" applyFont="1" applyBorder="1" applyAlignment="1">
      <alignment horizontal="right"/>
      <protection/>
    </xf>
    <xf numFmtId="0" fontId="2" fillId="0" borderId="0" xfId="53" applyFont="1" applyFill="1" applyAlignment="1">
      <alignment horizontal="left" wrapText="1"/>
      <protection/>
    </xf>
    <xf numFmtId="0" fontId="3" fillId="0" borderId="0" xfId="53" applyFont="1" applyFill="1" applyBorder="1" applyProtection="1">
      <alignment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/>
      <protection/>
    </xf>
    <xf numFmtId="1" fontId="3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Alignment="1">
      <alignment horizontal="right"/>
      <protection/>
    </xf>
    <xf numFmtId="3" fontId="3" fillId="0" borderId="0" xfId="53" applyNumberFormat="1" applyFont="1" applyFill="1" applyBorder="1" applyAlignment="1">
      <alignment wrapText="1"/>
      <protection/>
    </xf>
    <xf numFmtId="0" fontId="31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33" fillId="0" borderId="10" xfId="60" applyFont="1" applyBorder="1" applyAlignment="1">
      <alignment horizontal="justify" vertical="top" wrapText="1"/>
      <protection/>
    </xf>
    <xf numFmtId="0" fontId="33" fillId="0" borderId="10" xfId="60" applyFont="1" applyBorder="1" applyAlignment="1">
      <alignment horizontal="center" vertical="top" wrapText="1"/>
      <protection/>
    </xf>
    <xf numFmtId="0" fontId="32" fillId="0" borderId="10" xfId="60" applyFont="1" applyBorder="1" applyAlignment="1">
      <alignment vertical="top" wrapText="1"/>
      <protection/>
    </xf>
    <xf numFmtId="0" fontId="32" fillId="0" borderId="10" xfId="57" applyFont="1" applyBorder="1" applyAlignment="1">
      <alignment horizontal="center" vertical="center"/>
      <protection/>
    </xf>
    <xf numFmtId="0" fontId="32" fillId="0" borderId="10" xfId="66" applyNumberFormat="1" applyFont="1" applyBorder="1" applyAlignment="1">
      <alignment horizontal="center" vertical="center"/>
    </xf>
    <xf numFmtId="0" fontId="32" fillId="0" borderId="10" xfId="60" applyFont="1" applyBorder="1" applyAlignment="1">
      <alignment horizontal="center" vertical="center" wrapText="1"/>
      <protection/>
    </xf>
    <xf numFmtId="0" fontId="1" fillId="0" borderId="0" xfId="60" applyFont="1">
      <alignment/>
      <protection/>
    </xf>
    <xf numFmtId="0" fontId="33" fillId="0" borderId="15" xfId="60" applyFont="1" applyBorder="1" applyAlignment="1">
      <alignment horizontal="justify" vertical="top" wrapText="1"/>
      <protection/>
    </xf>
    <xf numFmtId="1" fontId="33" fillId="0" borderId="47" xfId="60" applyNumberFormat="1" applyFont="1" applyBorder="1" applyAlignment="1">
      <alignment horizontal="center" vertical="top" wrapText="1"/>
      <protection/>
    </xf>
    <xf numFmtId="0" fontId="32" fillId="0" borderId="15" xfId="60" applyFont="1" applyBorder="1" applyAlignment="1">
      <alignment horizontal="justify" vertical="top" wrapText="1"/>
      <protection/>
    </xf>
    <xf numFmtId="0" fontId="32" fillId="0" borderId="47" xfId="60" applyFont="1" applyBorder="1" applyAlignment="1">
      <alignment horizontal="center" vertical="top" wrapText="1"/>
      <protection/>
    </xf>
    <xf numFmtId="0" fontId="32" fillId="0" borderId="47" xfId="60" applyFont="1" applyFill="1" applyBorder="1" applyAlignment="1">
      <alignment horizontal="center" vertical="top" wrapText="1"/>
      <protection/>
    </xf>
    <xf numFmtId="0" fontId="32" fillId="0" borderId="21" xfId="60" applyFont="1" applyBorder="1" applyAlignment="1">
      <alignment horizontal="center" vertical="top" wrapText="1"/>
      <protection/>
    </xf>
    <xf numFmtId="0" fontId="34" fillId="0" borderId="47" xfId="60" applyFont="1" applyBorder="1" applyAlignment="1">
      <alignment horizontal="center" vertical="top" wrapText="1"/>
      <protection/>
    </xf>
    <xf numFmtId="0" fontId="34" fillId="0" borderId="47" xfId="60" applyFont="1" applyFill="1" applyBorder="1" applyAlignment="1">
      <alignment horizontal="center" vertical="top" wrapText="1"/>
      <protection/>
    </xf>
    <xf numFmtId="0" fontId="33" fillId="0" borderId="15" xfId="60" applyFont="1" applyBorder="1" applyAlignment="1">
      <alignment vertical="top" wrapText="1"/>
      <protection/>
    </xf>
    <xf numFmtId="0" fontId="33" fillId="0" borderId="47" xfId="60" applyFont="1" applyBorder="1" applyAlignment="1">
      <alignment horizontal="center" vertical="top" wrapText="1"/>
      <protection/>
    </xf>
    <xf numFmtId="0" fontId="32" fillId="0" borderId="0" xfId="60" applyFont="1">
      <alignment/>
      <protection/>
    </xf>
    <xf numFmtId="0" fontId="0" fillId="0" borderId="0" xfId="60" applyFont="1" applyFill="1" applyAlignment="1">
      <alignment horizontal="center"/>
      <protection/>
    </xf>
    <xf numFmtId="0" fontId="0" fillId="0" borderId="0" xfId="60" applyFont="1" applyFill="1">
      <alignment/>
      <protection/>
    </xf>
    <xf numFmtId="0" fontId="0" fillId="0" borderId="0" xfId="60" applyFill="1">
      <alignment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66" applyNumberFormat="1" applyFont="1" applyFill="1" applyBorder="1" applyAlignment="1">
      <alignment horizontal="center" vertical="center"/>
    </xf>
    <xf numFmtId="0" fontId="35" fillId="0" borderId="15" xfId="60" applyFont="1" applyBorder="1" applyAlignment="1">
      <alignment horizontal="justify" vertical="top" wrapText="1"/>
      <protection/>
    </xf>
    <xf numFmtId="0" fontId="35" fillId="0" borderId="47" xfId="60" applyFont="1" applyBorder="1" applyAlignment="1">
      <alignment horizontal="center" vertical="top" wrapText="1"/>
      <protection/>
    </xf>
    <xf numFmtId="0" fontId="35" fillId="0" borderId="47" xfId="60" applyFont="1" applyFill="1" applyBorder="1" applyAlignment="1">
      <alignment horizontal="center" vertical="top" wrapText="1"/>
      <protection/>
    </xf>
    <xf numFmtId="0" fontId="35" fillId="0" borderId="21" xfId="60" applyFont="1" applyBorder="1" applyAlignment="1">
      <alignment horizontal="center" vertical="top" wrapText="1"/>
      <protection/>
    </xf>
    <xf numFmtId="0" fontId="36" fillId="0" borderId="47" xfId="60" applyFont="1" applyBorder="1" applyAlignment="1">
      <alignment horizontal="center" vertical="top" wrapText="1"/>
      <protection/>
    </xf>
    <xf numFmtId="0" fontId="33" fillId="0" borderId="0" xfId="60" applyFont="1" applyBorder="1" applyAlignment="1">
      <alignment vertical="top" wrapText="1"/>
      <protection/>
    </xf>
    <xf numFmtId="1" fontId="33" fillId="0" borderId="0" xfId="60" applyNumberFormat="1" applyFont="1" applyBorder="1" applyAlignment="1">
      <alignment horizontal="center" vertical="top" wrapText="1"/>
      <protection/>
    </xf>
    <xf numFmtId="0" fontId="33" fillId="0" borderId="0" xfId="60" applyFont="1" applyBorder="1" applyAlignment="1">
      <alignment horizontal="center" vertical="top" wrapText="1"/>
      <protection/>
    </xf>
    <xf numFmtId="0" fontId="33" fillId="0" borderId="59" xfId="60" applyFont="1" applyBorder="1" applyAlignment="1">
      <alignment horizontal="center" vertical="top" wrapText="1"/>
      <protection/>
    </xf>
    <xf numFmtId="0" fontId="32" fillId="0" borderId="0" xfId="60" applyFont="1" applyBorder="1" applyAlignment="1">
      <alignment horizontal="left"/>
      <protection/>
    </xf>
    <xf numFmtId="0" fontId="0" fillId="0" borderId="27" xfId="60" applyBorder="1">
      <alignment/>
      <protection/>
    </xf>
    <xf numFmtId="0" fontId="33" fillId="0" borderId="0" xfId="57" applyFont="1" applyBorder="1" applyProtection="1">
      <alignment/>
      <protection/>
    </xf>
    <xf numFmtId="0" fontId="33" fillId="0" borderId="0" xfId="57" applyFont="1" applyBorder="1" applyAlignment="1">
      <alignment wrapText="1"/>
      <protection/>
    </xf>
    <xf numFmtId="0" fontId="32" fillId="0" borderId="0" xfId="60" applyFont="1">
      <alignment/>
      <protection/>
    </xf>
    <xf numFmtId="0" fontId="32" fillId="0" borderId="0" xfId="57" applyFont="1" applyBorder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1" fontId="2" fillId="0" borderId="12" xfId="58" applyNumberFormat="1" applyFont="1" applyFill="1" applyBorder="1" applyAlignment="1" applyProtection="1">
      <alignment horizontal="center" vertical="center" wrapText="1"/>
      <protection/>
    </xf>
    <xf numFmtId="0" fontId="2" fillId="0" borderId="12" xfId="58" applyFont="1" applyFill="1" applyBorder="1" applyAlignment="1" applyProtection="1">
      <alignment horizontal="center" vertical="center" wrapText="1"/>
      <protection/>
    </xf>
    <xf numFmtId="0" fontId="2" fillId="0" borderId="46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3" fontId="2" fillId="0" borderId="15" xfId="53" applyNumberFormat="1" applyFont="1" applyFill="1" applyBorder="1" applyProtection="1">
      <alignment/>
      <protection/>
    </xf>
    <xf numFmtId="49" fontId="3" fillId="0" borderId="11" xfId="53" applyNumberFormat="1" applyFont="1" applyFill="1" applyBorder="1">
      <alignment/>
      <protection/>
    </xf>
    <xf numFmtId="49" fontId="3" fillId="0" borderId="11" xfId="58" applyNumberFormat="1" applyFont="1" applyFill="1" applyBorder="1" applyAlignment="1">
      <alignment horizontal="left"/>
      <protection/>
    </xf>
    <xf numFmtId="0" fontId="3" fillId="0" borderId="12" xfId="58" applyFont="1" applyFill="1" applyBorder="1" applyAlignment="1">
      <alignment wrapText="1"/>
      <protection/>
    </xf>
    <xf numFmtId="3" fontId="2" fillId="0" borderId="0" xfId="53" applyNumberFormat="1" applyFont="1" applyFill="1" applyBorder="1">
      <alignment/>
      <protection/>
    </xf>
    <xf numFmtId="0" fontId="26" fillId="0" borderId="0" xfId="53" applyFont="1" applyFill="1" applyBorder="1" applyAlignment="1">
      <alignment horizontal="right" wrapText="1"/>
      <protection/>
    </xf>
    <xf numFmtId="0" fontId="3" fillId="0" borderId="35" xfId="53" applyFont="1" applyBorder="1">
      <alignment/>
      <protection/>
    </xf>
    <xf numFmtId="0" fontId="3" fillId="0" borderId="23" xfId="53" applyFont="1" applyBorder="1">
      <alignment/>
      <protection/>
    </xf>
    <xf numFmtId="0" fontId="3" fillId="0" borderId="15" xfId="53" applyFont="1" applyFill="1" applyBorder="1">
      <alignment/>
      <protection/>
    </xf>
    <xf numFmtId="3" fontId="2" fillId="0" borderId="0" xfId="53" applyNumberFormat="1" applyFont="1" applyBorder="1" applyAlignment="1">
      <alignment horizontal="right" wrapText="1"/>
      <protection/>
    </xf>
    <xf numFmtId="3" fontId="2" fillId="0" borderId="0" xfId="53" applyNumberFormat="1" applyFont="1" applyBorder="1">
      <alignment/>
      <protection/>
    </xf>
    <xf numFmtId="0" fontId="2" fillId="0" borderId="0" xfId="53" applyFont="1" applyFill="1" applyBorder="1">
      <alignment/>
      <protection/>
    </xf>
    <xf numFmtId="3" fontId="3" fillId="0" borderId="0" xfId="53" applyNumberFormat="1" applyFont="1" applyFill="1" applyBorder="1" applyProtection="1">
      <alignment/>
      <protection/>
    </xf>
    <xf numFmtId="0" fontId="24" fillId="0" borderId="0" xfId="0" applyFont="1" applyFill="1" applyAlignment="1">
      <alignment horizontal="center"/>
    </xf>
    <xf numFmtId="0" fontId="24" fillId="0" borderId="51" xfId="0" applyFont="1" applyFill="1" applyBorder="1" applyAlignment="1">
      <alignment horizontal="center" wrapText="1"/>
    </xf>
    <xf numFmtId="0" fontId="24" fillId="0" borderId="51" xfId="0" applyFont="1" applyFill="1" applyBorder="1" applyAlignment="1">
      <alignment horizontal="center" wrapText="1"/>
    </xf>
    <xf numFmtId="0" fontId="2" fillId="0" borderId="0" xfId="59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horizontal="left"/>
    </xf>
    <xf numFmtId="0" fontId="24" fillId="0" borderId="0" xfId="53" applyFont="1" applyFill="1" applyAlignment="1">
      <alignment horizontal="left"/>
      <protection/>
    </xf>
    <xf numFmtId="0" fontId="2" fillId="0" borderId="0" xfId="60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 wrapText="1"/>
      <protection/>
    </xf>
    <xf numFmtId="0" fontId="0" fillId="0" borderId="0" xfId="0" applyAlignment="1">
      <alignment/>
    </xf>
    <xf numFmtId="0" fontId="24" fillId="0" borderId="51" xfId="53" applyFont="1" applyFill="1" applyBorder="1" applyAlignment="1">
      <alignment horizontal="center" wrapText="1"/>
      <protection/>
    </xf>
    <xf numFmtId="0" fontId="24" fillId="0" borderId="51" xfId="53" applyFont="1" applyBorder="1" applyAlignment="1">
      <alignment horizontal="left" wrapText="1"/>
      <protection/>
    </xf>
    <xf numFmtId="0" fontId="32" fillId="0" borderId="0" xfId="60" applyFont="1" applyBorder="1" applyAlignment="1">
      <alignment horizontal="left"/>
      <protection/>
    </xf>
    <xf numFmtId="0" fontId="31" fillId="0" borderId="0" xfId="60" applyFont="1" applyAlignment="1">
      <alignment horizontal="center"/>
      <protection/>
    </xf>
    <xf numFmtId="0" fontId="32" fillId="0" borderId="23" xfId="60" applyFont="1" applyBorder="1" applyAlignment="1">
      <alignment horizontal="center" vertical="top" wrapText="1"/>
      <protection/>
    </xf>
    <xf numFmtId="0" fontId="32" fillId="0" borderId="15" xfId="60" applyFont="1" applyBorder="1" applyAlignment="1">
      <alignment horizontal="center" vertical="top" wrapText="1"/>
      <protection/>
    </xf>
    <xf numFmtId="0" fontId="31" fillId="0" borderId="0" xfId="60" applyFont="1" applyAlignment="1">
      <alignment horizontal="center"/>
      <protection/>
    </xf>
    <xf numFmtId="0" fontId="31" fillId="0" borderId="39" xfId="60" applyFont="1" applyBorder="1" applyAlignment="1">
      <alignment horizontal="center"/>
      <protection/>
    </xf>
    <xf numFmtId="0" fontId="31" fillId="0" borderId="0" xfId="60" applyFont="1" applyBorder="1" applyAlignment="1">
      <alignment horizontal="center"/>
      <protection/>
    </xf>
    <xf numFmtId="0" fontId="32" fillId="0" borderId="10" xfId="60" applyFont="1" applyBorder="1" applyAlignment="1">
      <alignment horizontal="center" vertical="top" wrapText="1"/>
      <protection/>
    </xf>
    <xf numFmtId="0" fontId="24" fillId="0" borderId="51" xfId="53" applyFont="1" applyBorder="1" applyAlignment="1">
      <alignment horizontal="center" wrapText="1"/>
      <protection/>
    </xf>
    <xf numFmtId="0" fontId="2" fillId="0" borderId="0" xfId="53" applyFont="1" applyAlignment="1">
      <alignment wrapText="1"/>
      <protection/>
    </xf>
  </cellXfs>
  <cellStyles count="5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Ievade" xfId="41"/>
    <cellStyle name="Izcēlums1" xfId="42"/>
    <cellStyle name="Izcēlums2" xfId="43"/>
    <cellStyle name="Izcēlums3" xfId="44"/>
    <cellStyle name="Izcēlums4" xfId="45"/>
    <cellStyle name="Izcēlums5" xfId="46"/>
    <cellStyle name="Izcēlums6" xfId="47"/>
    <cellStyle name="Izvade" xfId="48"/>
    <cellStyle name="Kopsumma" xfId="49"/>
    <cellStyle name="Labs" xfId="50"/>
    <cellStyle name="Neitrāls" xfId="51"/>
    <cellStyle name="Normal_2009.g plāns apst" xfId="52"/>
    <cellStyle name="Normal_2009.g plāns apst 2" xfId="53"/>
    <cellStyle name="Normal_2011.g ieņēmumu un izdevumu plāns" xfId="54"/>
    <cellStyle name="Normal_Sheet1" xfId="55"/>
    <cellStyle name="Normal_Sheet1_Pielikumi oktobra korekcijam" xfId="56"/>
    <cellStyle name="Normal_Specb.2009.g. decembra korekcijas saīsin." xfId="57"/>
    <cellStyle name="Normal_Specb.ziedoj.un davin. 2011.g. decembra korekcijas" xfId="58"/>
    <cellStyle name="Normal_Specbudz.kopsavilkums 2006.g un korekc." xfId="59"/>
    <cellStyle name="Normal_Specbudz.kopsavilkums 2006.g un korekc. 2" xfId="60"/>
    <cellStyle name="Nosaukums" xfId="61"/>
    <cellStyle name="Pārbaudes šūna" xfId="62"/>
    <cellStyle name="Paskaidrojošs teksts" xfId="63"/>
    <cellStyle name="Percent" xfId="64"/>
    <cellStyle name="Piezīme" xfId="65"/>
    <cellStyle name="Procenti 2" xfId="66"/>
    <cellStyle name="Saistīta šūna" xfId="67"/>
    <cellStyle name="Slikts" xfId="68"/>
    <cellStyle name="Virsraksts 1" xfId="69"/>
    <cellStyle name="Virsraksts 2" xfId="70"/>
    <cellStyle name="Virsraksts 3" xfId="71"/>
    <cellStyle name="Virsraksts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PageLayoutView="0" workbookViewId="0" topLeftCell="A1">
      <pane xSplit="2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1.28125" style="2" customWidth="1"/>
    <col min="2" max="2" width="41.00390625" style="3" customWidth="1"/>
    <col min="3" max="3" width="13.28125" style="2" customWidth="1"/>
    <col min="4" max="4" width="11.00390625" style="4" customWidth="1"/>
    <col min="5" max="5" width="10.7109375" style="2" customWidth="1"/>
    <col min="6" max="6" width="11.00390625" style="2" customWidth="1"/>
    <col min="7" max="7" width="12.00390625" style="2" customWidth="1"/>
    <col min="8" max="8" width="9.8515625" style="2" customWidth="1"/>
    <col min="9" max="9" width="9.57421875" style="2" customWidth="1"/>
    <col min="10" max="10" width="10.140625" style="2" customWidth="1"/>
    <col min="11" max="11" width="10.00390625" style="2" customWidth="1"/>
    <col min="12" max="13" width="9.57421875" style="2" customWidth="1"/>
    <col min="14" max="14" width="10.8515625" style="2" customWidth="1"/>
    <col min="15" max="15" width="10.28125" style="2" customWidth="1"/>
    <col min="16" max="16" width="13.00390625" style="5" customWidth="1"/>
    <col min="17" max="16384" width="9.140625" style="2" customWidth="1"/>
  </cols>
  <sheetData>
    <row r="1" spans="3:16" ht="14.25">
      <c r="C1" s="451" t="s">
        <v>11</v>
      </c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4.25">
      <c r="A2" s="6"/>
      <c r="C2" s="453" t="s">
        <v>12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4.25">
      <c r="A3" s="6"/>
      <c r="C3" s="453" t="s">
        <v>458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5" spans="1:4" ht="20.25">
      <c r="A5" s="448" t="s">
        <v>415</v>
      </c>
      <c r="B5" s="448"/>
      <c r="C5" s="448"/>
      <c r="D5" s="448"/>
    </row>
    <row r="6" spans="1:14" ht="15.75" thickBot="1">
      <c r="A6" s="6"/>
      <c r="B6" s="7"/>
      <c r="C6" s="6"/>
      <c r="N6" s="8"/>
    </row>
    <row r="7" spans="1:16" ht="97.5" customHeight="1" thickBot="1">
      <c r="A7" s="9" t="s">
        <v>10</v>
      </c>
      <c r="B7" s="10" t="s">
        <v>153</v>
      </c>
      <c r="C7" s="11" t="s">
        <v>414</v>
      </c>
      <c r="D7" s="12" t="s">
        <v>416</v>
      </c>
      <c r="E7" s="11" t="s">
        <v>417</v>
      </c>
      <c r="F7" s="13" t="s">
        <v>418</v>
      </c>
      <c r="G7" s="11" t="s">
        <v>419</v>
      </c>
      <c r="H7" s="193" t="s">
        <v>420</v>
      </c>
      <c r="I7" s="186" t="s">
        <v>421</v>
      </c>
      <c r="J7" s="186" t="s">
        <v>422</v>
      </c>
      <c r="K7" s="186" t="s">
        <v>423</v>
      </c>
      <c r="L7" s="186" t="s">
        <v>424</v>
      </c>
      <c r="M7" s="186" t="s">
        <v>425</v>
      </c>
      <c r="N7" s="186" t="s">
        <v>426</v>
      </c>
      <c r="O7" s="187" t="s">
        <v>427</v>
      </c>
      <c r="P7" s="14" t="s">
        <v>428</v>
      </c>
    </row>
    <row r="8" spans="1:16" ht="15.75" thickBot="1">
      <c r="A8" s="165"/>
      <c r="B8" s="81" t="s">
        <v>25</v>
      </c>
      <c r="C8" s="83">
        <f aca="true" t="shared" si="0" ref="C8:O8">C9+C12+C17</f>
        <v>13322861</v>
      </c>
      <c r="D8" s="83">
        <f t="shared" si="0"/>
        <v>0</v>
      </c>
      <c r="E8" s="83">
        <f t="shared" si="0"/>
        <v>0</v>
      </c>
      <c r="F8" s="83">
        <f t="shared" si="0"/>
        <v>0</v>
      </c>
      <c r="G8" s="83">
        <f t="shared" si="0"/>
        <v>0</v>
      </c>
      <c r="H8" s="194">
        <f t="shared" si="0"/>
        <v>61500</v>
      </c>
      <c r="I8" s="83">
        <f t="shared" si="0"/>
        <v>21248</v>
      </c>
      <c r="J8" s="83">
        <f t="shared" si="0"/>
        <v>28000</v>
      </c>
      <c r="K8" s="83">
        <f t="shared" si="0"/>
        <v>51715</v>
      </c>
      <c r="L8" s="83">
        <f t="shared" si="0"/>
        <v>21000</v>
      </c>
      <c r="M8" s="83">
        <f t="shared" si="0"/>
        <v>20940</v>
      </c>
      <c r="N8" s="83">
        <f t="shared" si="0"/>
        <v>20187</v>
      </c>
      <c r="O8" s="83">
        <f t="shared" si="0"/>
        <v>28900</v>
      </c>
      <c r="P8" s="84">
        <f aca="true" t="shared" si="1" ref="P8:P46">SUM(C8:O8)</f>
        <v>13576351</v>
      </c>
    </row>
    <row r="9" spans="1:16" ht="29.25">
      <c r="A9" s="164" t="s">
        <v>26</v>
      </c>
      <c r="B9" s="118" t="s">
        <v>154</v>
      </c>
      <c r="C9" s="58">
        <f aca="true" t="shared" si="2" ref="C9:O9">SUM(C10:C11)</f>
        <v>12314945</v>
      </c>
      <c r="D9" s="58">
        <f t="shared" si="2"/>
        <v>0</v>
      </c>
      <c r="E9" s="58">
        <f t="shared" si="2"/>
        <v>0</v>
      </c>
      <c r="F9" s="58">
        <f t="shared" si="2"/>
        <v>0</v>
      </c>
      <c r="G9" s="58">
        <f t="shared" si="2"/>
        <v>0</v>
      </c>
      <c r="H9" s="195">
        <f t="shared" si="2"/>
        <v>0</v>
      </c>
      <c r="I9" s="58">
        <f t="shared" si="2"/>
        <v>0</v>
      </c>
      <c r="J9" s="58">
        <f t="shared" si="2"/>
        <v>0</v>
      </c>
      <c r="K9" s="58">
        <f t="shared" si="2"/>
        <v>0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0</v>
      </c>
      <c r="P9" s="18">
        <f t="shared" si="1"/>
        <v>12314945</v>
      </c>
    </row>
    <row r="10" spans="1:16" ht="43.5">
      <c r="A10" s="23" t="s">
        <v>27</v>
      </c>
      <c r="B10" s="20" t="s">
        <v>155</v>
      </c>
      <c r="C10" s="21">
        <v>134465</v>
      </c>
      <c r="D10" s="21"/>
      <c r="E10" s="21"/>
      <c r="F10" s="24"/>
      <c r="G10" s="21"/>
      <c r="H10" s="37"/>
      <c r="I10" s="21"/>
      <c r="J10" s="21"/>
      <c r="K10" s="21"/>
      <c r="L10" s="21"/>
      <c r="M10" s="21"/>
      <c r="N10" s="21"/>
      <c r="O10" s="21"/>
      <c r="P10" s="18">
        <f t="shared" si="1"/>
        <v>134465</v>
      </c>
    </row>
    <row r="11" spans="1:16" ht="43.5">
      <c r="A11" s="23" t="s">
        <v>28</v>
      </c>
      <c r="B11" s="20" t="s">
        <v>156</v>
      </c>
      <c r="C11" s="21">
        <v>12180480</v>
      </c>
      <c r="D11" s="21"/>
      <c r="E11" s="25"/>
      <c r="F11" s="24"/>
      <c r="G11" s="21"/>
      <c r="H11" s="37"/>
      <c r="I11" s="21"/>
      <c r="J11" s="21"/>
      <c r="K11" s="21"/>
      <c r="L11" s="21"/>
      <c r="M11" s="21"/>
      <c r="N11" s="21"/>
      <c r="O11" s="21"/>
      <c r="P11" s="18">
        <f t="shared" si="1"/>
        <v>12180480</v>
      </c>
    </row>
    <row r="12" spans="1:16" ht="15">
      <c r="A12" s="19" t="s">
        <v>157</v>
      </c>
      <c r="B12" s="20" t="s">
        <v>158</v>
      </c>
      <c r="C12" s="21">
        <f>C13</f>
        <v>967916</v>
      </c>
      <c r="D12" s="21"/>
      <c r="E12" s="21"/>
      <c r="F12" s="24"/>
      <c r="G12" s="21"/>
      <c r="H12" s="37">
        <f aca="true" t="shared" si="3" ref="H12:O12">H13</f>
        <v>61500</v>
      </c>
      <c r="I12" s="37">
        <f t="shared" si="3"/>
        <v>21248</v>
      </c>
      <c r="J12" s="37">
        <f t="shared" si="3"/>
        <v>28000</v>
      </c>
      <c r="K12" s="37">
        <f t="shared" si="3"/>
        <v>51715</v>
      </c>
      <c r="L12" s="37">
        <f t="shared" si="3"/>
        <v>21000</v>
      </c>
      <c r="M12" s="37">
        <f t="shared" si="3"/>
        <v>20940</v>
      </c>
      <c r="N12" s="37">
        <f t="shared" si="3"/>
        <v>20187</v>
      </c>
      <c r="O12" s="37">
        <f t="shared" si="3"/>
        <v>28900</v>
      </c>
      <c r="P12" s="18">
        <f t="shared" si="1"/>
        <v>1221406</v>
      </c>
    </row>
    <row r="13" spans="1:16" ht="15">
      <c r="A13" s="19" t="s">
        <v>29</v>
      </c>
      <c r="B13" s="20" t="s">
        <v>30</v>
      </c>
      <c r="C13" s="21">
        <f>SUM(C14:C16)</f>
        <v>967916</v>
      </c>
      <c r="D13" s="21"/>
      <c r="E13" s="21"/>
      <c r="F13" s="24"/>
      <c r="G13" s="21"/>
      <c r="H13" s="37">
        <f aca="true" t="shared" si="4" ref="H13:O13">SUM(H14:H16)</f>
        <v>61500</v>
      </c>
      <c r="I13" s="21">
        <f t="shared" si="4"/>
        <v>21248</v>
      </c>
      <c r="J13" s="21">
        <f t="shared" si="4"/>
        <v>28000</v>
      </c>
      <c r="K13" s="21">
        <f t="shared" si="4"/>
        <v>51715</v>
      </c>
      <c r="L13" s="21">
        <f t="shared" si="4"/>
        <v>21000</v>
      </c>
      <c r="M13" s="21">
        <f t="shared" si="4"/>
        <v>20940</v>
      </c>
      <c r="N13" s="21">
        <f t="shared" si="4"/>
        <v>20187</v>
      </c>
      <c r="O13" s="21">
        <f t="shared" si="4"/>
        <v>28900</v>
      </c>
      <c r="P13" s="18">
        <f t="shared" si="1"/>
        <v>1221406</v>
      </c>
    </row>
    <row r="14" spans="1:16" ht="15">
      <c r="A14" s="23" t="s">
        <v>13</v>
      </c>
      <c r="B14" s="20" t="s">
        <v>31</v>
      </c>
      <c r="C14" s="28">
        <v>468565</v>
      </c>
      <c r="D14" s="26"/>
      <c r="E14" s="26"/>
      <c r="F14" s="26"/>
      <c r="G14" s="27"/>
      <c r="H14" s="196">
        <v>52000</v>
      </c>
      <c r="I14" s="26">
        <v>19183</v>
      </c>
      <c r="J14" s="26">
        <v>26300</v>
      </c>
      <c r="K14" s="26">
        <v>46455</v>
      </c>
      <c r="L14" s="26">
        <v>21000</v>
      </c>
      <c r="M14" s="27">
        <v>20500</v>
      </c>
      <c r="N14" s="27">
        <v>19223</v>
      </c>
      <c r="O14" s="26">
        <v>27600</v>
      </c>
      <c r="P14" s="18">
        <f t="shared" si="1"/>
        <v>700826</v>
      </c>
    </row>
    <row r="15" spans="1:16" ht="15">
      <c r="A15" s="23" t="s">
        <v>14</v>
      </c>
      <c r="B15" s="20" t="s">
        <v>32</v>
      </c>
      <c r="C15" s="28">
        <v>275209</v>
      </c>
      <c r="D15" s="26"/>
      <c r="E15" s="26"/>
      <c r="F15" s="26"/>
      <c r="G15" s="27"/>
      <c r="H15" s="196">
        <v>8300</v>
      </c>
      <c r="I15" s="26">
        <v>971</v>
      </c>
      <c r="J15" s="26"/>
      <c r="K15" s="26">
        <v>1950</v>
      </c>
      <c r="L15" s="26"/>
      <c r="M15" s="26">
        <v>200</v>
      </c>
      <c r="N15" s="26">
        <v>964</v>
      </c>
      <c r="O15" s="26">
        <v>1300</v>
      </c>
      <c r="P15" s="18">
        <f t="shared" si="1"/>
        <v>288894</v>
      </c>
    </row>
    <row r="16" spans="1:16" ht="29.25">
      <c r="A16" s="23" t="s">
        <v>244</v>
      </c>
      <c r="B16" s="20" t="s">
        <v>245</v>
      </c>
      <c r="C16" s="28">
        <v>224142</v>
      </c>
      <c r="D16" s="26"/>
      <c r="E16" s="26"/>
      <c r="F16" s="26"/>
      <c r="G16" s="27"/>
      <c r="H16" s="196">
        <v>1200</v>
      </c>
      <c r="I16" s="26">
        <v>1094</v>
      </c>
      <c r="J16" s="26">
        <v>1700</v>
      </c>
      <c r="K16" s="26">
        <v>3310</v>
      </c>
      <c r="L16" s="26"/>
      <c r="M16" s="26">
        <v>240</v>
      </c>
      <c r="N16" s="26"/>
      <c r="O16" s="26"/>
      <c r="P16" s="18">
        <f t="shared" si="1"/>
        <v>231686</v>
      </c>
    </row>
    <row r="17" spans="1:16" ht="15.75" thickBot="1">
      <c r="A17" s="166" t="s">
        <v>15</v>
      </c>
      <c r="B17" s="43" t="s">
        <v>33</v>
      </c>
      <c r="C17" s="44">
        <v>40000</v>
      </c>
      <c r="D17" s="44"/>
      <c r="E17" s="44"/>
      <c r="F17" s="45"/>
      <c r="G17" s="44"/>
      <c r="H17" s="197"/>
      <c r="I17" s="103"/>
      <c r="J17" s="103"/>
      <c r="K17" s="47"/>
      <c r="L17" s="47"/>
      <c r="M17" s="47"/>
      <c r="N17" s="47"/>
      <c r="O17" s="48"/>
      <c r="P17" s="116">
        <f t="shared" si="1"/>
        <v>40000</v>
      </c>
    </row>
    <row r="18" spans="1:16" ht="15.75" thickBot="1">
      <c r="A18" s="165"/>
      <c r="B18" s="81" t="s">
        <v>34</v>
      </c>
      <c r="C18" s="83">
        <f aca="true" t="shared" si="5" ref="C18:O18">SUM(C19:C25)</f>
        <v>67221</v>
      </c>
      <c r="D18" s="83">
        <f t="shared" si="5"/>
        <v>1270</v>
      </c>
      <c r="E18" s="83">
        <f t="shared" si="5"/>
        <v>0</v>
      </c>
      <c r="F18" s="83">
        <f t="shared" si="5"/>
        <v>0</v>
      </c>
      <c r="G18" s="83">
        <f t="shared" si="5"/>
        <v>0</v>
      </c>
      <c r="H18" s="198">
        <f t="shared" si="5"/>
        <v>2960</v>
      </c>
      <c r="I18" s="82">
        <f t="shared" si="5"/>
        <v>600</v>
      </c>
      <c r="J18" s="82">
        <f t="shared" si="5"/>
        <v>500</v>
      </c>
      <c r="K18" s="82">
        <f t="shared" si="5"/>
        <v>17380</v>
      </c>
      <c r="L18" s="82">
        <f t="shared" si="5"/>
        <v>450</v>
      </c>
      <c r="M18" s="82">
        <f t="shared" si="5"/>
        <v>1060</v>
      </c>
      <c r="N18" s="82">
        <f t="shared" si="5"/>
        <v>1300</v>
      </c>
      <c r="O18" s="82">
        <f t="shared" si="5"/>
        <v>220</v>
      </c>
      <c r="P18" s="84">
        <f t="shared" si="1"/>
        <v>92961</v>
      </c>
    </row>
    <row r="19" spans="1:16" ht="29.25">
      <c r="A19" s="167" t="s">
        <v>159</v>
      </c>
      <c r="B19" s="168" t="s">
        <v>160</v>
      </c>
      <c r="C19" s="58">
        <v>800</v>
      </c>
      <c r="D19" s="58">
        <v>1270</v>
      </c>
      <c r="E19" s="58"/>
      <c r="F19" s="86"/>
      <c r="G19" s="16"/>
      <c r="H19" s="199">
        <v>150</v>
      </c>
      <c r="I19" s="59"/>
      <c r="J19" s="61">
        <v>200</v>
      </c>
      <c r="K19" s="61">
        <v>1060</v>
      </c>
      <c r="L19" s="61"/>
      <c r="M19" s="61">
        <v>40</v>
      </c>
      <c r="N19" s="61"/>
      <c r="O19" s="62"/>
      <c r="P19" s="18">
        <f t="shared" si="1"/>
        <v>3520</v>
      </c>
    </row>
    <row r="20" spans="1:16" ht="29.25">
      <c r="A20" s="19" t="s">
        <v>35</v>
      </c>
      <c r="B20" s="20" t="s">
        <v>36</v>
      </c>
      <c r="C20" s="21">
        <v>2500</v>
      </c>
      <c r="D20" s="21"/>
      <c r="E20" s="21"/>
      <c r="F20" s="24"/>
      <c r="G20" s="21"/>
      <c r="H20" s="26"/>
      <c r="I20" s="30"/>
      <c r="J20" s="28">
        <v>200</v>
      </c>
      <c r="K20" s="28">
        <v>750</v>
      </c>
      <c r="L20" s="28">
        <v>200</v>
      </c>
      <c r="M20" s="28">
        <v>20</v>
      </c>
      <c r="N20" s="28">
        <v>200</v>
      </c>
      <c r="O20" s="29">
        <v>100</v>
      </c>
      <c r="P20" s="18">
        <f t="shared" si="1"/>
        <v>3970</v>
      </c>
    </row>
    <row r="21" spans="1:16" ht="15">
      <c r="A21" s="19" t="s">
        <v>17</v>
      </c>
      <c r="B21" s="20" t="s">
        <v>16</v>
      </c>
      <c r="C21" s="21">
        <v>10000</v>
      </c>
      <c r="D21" s="21"/>
      <c r="E21" s="21"/>
      <c r="F21" s="24"/>
      <c r="G21" s="21"/>
      <c r="H21" s="26">
        <v>810</v>
      </c>
      <c r="I21" s="30"/>
      <c r="J21" s="28">
        <v>100</v>
      </c>
      <c r="K21" s="28">
        <v>2770</v>
      </c>
      <c r="L21" s="28"/>
      <c r="M21" s="28">
        <v>400</v>
      </c>
      <c r="N21" s="28">
        <v>100</v>
      </c>
      <c r="O21" s="29">
        <v>20</v>
      </c>
      <c r="P21" s="18">
        <f t="shared" si="1"/>
        <v>14200</v>
      </c>
    </row>
    <row r="22" spans="1:16" ht="15">
      <c r="A22" s="19" t="s">
        <v>161</v>
      </c>
      <c r="B22" s="20" t="s">
        <v>162</v>
      </c>
      <c r="C22" s="21">
        <v>20000</v>
      </c>
      <c r="D22" s="21"/>
      <c r="E22" s="21"/>
      <c r="F22" s="24"/>
      <c r="G22" s="21"/>
      <c r="H22" s="26">
        <v>200</v>
      </c>
      <c r="I22" s="27"/>
      <c r="J22" s="28"/>
      <c r="K22" s="28">
        <v>800</v>
      </c>
      <c r="L22" s="28">
        <v>250</v>
      </c>
      <c r="M22" s="28"/>
      <c r="N22" s="28"/>
      <c r="O22" s="29"/>
      <c r="P22" s="18">
        <f t="shared" si="1"/>
        <v>21250</v>
      </c>
    </row>
    <row r="23" spans="1:16" ht="29.25">
      <c r="A23" s="19" t="s">
        <v>163</v>
      </c>
      <c r="B23" s="20" t="s">
        <v>164</v>
      </c>
      <c r="C23" s="21">
        <v>15000</v>
      </c>
      <c r="D23" s="21"/>
      <c r="E23" s="21"/>
      <c r="F23" s="24"/>
      <c r="G23" s="21"/>
      <c r="H23" s="200"/>
      <c r="I23" s="27">
        <v>600</v>
      </c>
      <c r="J23" s="28"/>
      <c r="K23" s="28">
        <v>800</v>
      </c>
      <c r="L23" s="28"/>
      <c r="M23" s="28">
        <v>600</v>
      </c>
      <c r="N23" s="28">
        <v>500</v>
      </c>
      <c r="O23" s="29">
        <v>100</v>
      </c>
      <c r="P23" s="18">
        <f t="shared" si="1"/>
        <v>17600</v>
      </c>
    </row>
    <row r="24" spans="1:16" ht="15">
      <c r="A24" s="19" t="s">
        <v>165</v>
      </c>
      <c r="B24" s="20" t="s">
        <v>37</v>
      </c>
      <c r="C24" s="21">
        <v>18921</v>
      </c>
      <c r="D24" s="21"/>
      <c r="E24" s="21"/>
      <c r="F24" s="24"/>
      <c r="G24" s="21"/>
      <c r="H24" s="26"/>
      <c r="I24" s="30"/>
      <c r="J24" s="28"/>
      <c r="K24" s="28"/>
      <c r="L24" s="28"/>
      <c r="M24" s="28"/>
      <c r="N24" s="28">
        <v>500</v>
      </c>
      <c r="O24" s="29"/>
      <c r="P24" s="18">
        <f t="shared" si="1"/>
        <v>19421</v>
      </c>
    </row>
    <row r="25" spans="1:16" ht="44.25" thickBot="1">
      <c r="A25" s="19" t="s">
        <v>143</v>
      </c>
      <c r="B25" s="20" t="s">
        <v>429</v>
      </c>
      <c r="C25" s="21"/>
      <c r="D25" s="21"/>
      <c r="E25" s="21"/>
      <c r="F25" s="24"/>
      <c r="G25" s="21"/>
      <c r="H25" s="40">
        <v>1800</v>
      </c>
      <c r="I25" s="24"/>
      <c r="J25" s="24"/>
      <c r="K25" s="47">
        <f>10000+1200</f>
        <v>11200</v>
      </c>
      <c r="L25" s="24"/>
      <c r="M25" s="28"/>
      <c r="N25" s="24"/>
      <c r="O25" s="24"/>
      <c r="P25" s="18">
        <f t="shared" si="1"/>
        <v>13000</v>
      </c>
    </row>
    <row r="26" spans="1:16" ht="15.75" thickBot="1">
      <c r="A26" s="169" t="s">
        <v>38</v>
      </c>
      <c r="B26" s="81" t="s">
        <v>39</v>
      </c>
      <c r="C26" s="83">
        <f aca="true" t="shared" si="6" ref="C26:O26">SUM(C27:C27)</f>
        <v>3620612</v>
      </c>
      <c r="D26" s="83">
        <f t="shared" si="6"/>
        <v>741644</v>
      </c>
      <c r="E26" s="83">
        <f t="shared" si="6"/>
        <v>2108</v>
      </c>
      <c r="F26" s="83">
        <f t="shared" si="6"/>
        <v>70262</v>
      </c>
      <c r="G26" s="83">
        <f t="shared" si="6"/>
        <v>3792</v>
      </c>
      <c r="H26" s="194">
        <f t="shared" si="6"/>
        <v>0</v>
      </c>
      <c r="I26" s="83">
        <f t="shared" si="6"/>
        <v>0</v>
      </c>
      <c r="J26" s="83">
        <f t="shared" si="6"/>
        <v>0</v>
      </c>
      <c r="K26" s="83">
        <f t="shared" si="6"/>
        <v>32212</v>
      </c>
      <c r="L26" s="83">
        <f t="shared" si="6"/>
        <v>0</v>
      </c>
      <c r="M26" s="83">
        <f t="shared" si="6"/>
        <v>3528</v>
      </c>
      <c r="N26" s="83">
        <f t="shared" si="6"/>
        <v>91155</v>
      </c>
      <c r="O26" s="83">
        <f t="shared" si="6"/>
        <v>0</v>
      </c>
      <c r="P26" s="84">
        <f t="shared" si="1"/>
        <v>4565313</v>
      </c>
    </row>
    <row r="27" spans="1:16" ht="30" thickBot="1">
      <c r="A27" s="185" t="s">
        <v>243</v>
      </c>
      <c r="B27" s="154" t="s">
        <v>246</v>
      </c>
      <c r="C27" s="58">
        <v>3620612</v>
      </c>
      <c r="D27" s="58">
        <v>741644</v>
      </c>
      <c r="E27" s="58">
        <v>2108</v>
      </c>
      <c r="F27" s="58">
        <v>70262</v>
      </c>
      <c r="G27" s="58">
        <v>3792</v>
      </c>
      <c r="H27" s="201"/>
      <c r="I27" s="86"/>
      <c r="J27" s="86"/>
      <c r="K27" s="86">
        <v>32212</v>
      </c>
      <c r="L27" s="86"/>
      <c r="M27" s="86">
        <v>3528</v>
      </c>
      <c r="N27" s="86">
        <v>91155</v>
      </c>
      <c r="O27" s="86"/>
      <c r="P27" s="18">
        <f t="shared" si="1"/>
        <v>4565313</v>
      </c>
    </row>
    <row r="28" spans="1:16" ht="15.75" thickBot="1">
      <c r="A28" s="169" t="s">
        <v>40</v>
      </c>
      <c r="B28" s="81" t="s">
        <v>41</v>
      </c>
      <c r="C28" s="82">
        <f aca="true" t="shared" si="7" ref="C28:O28">SUM(C29:C31)</f>
        <v>290000</v>
      </c>
      <c r="D28" s="82">
        <f t="shared" si="7"/>
        <v>0</v>
      </c>
      <c r="E28" s="82">
        <f t="shared" si="7"/>
        <v>0</v>
      </c>
      <c r="F28" s="82">
        <f t="shared" si="7"/>
        <v>0</v>
      </c>
      <c r="G28" s="83">
        <f t="shared" si="7"/>
        <v>100000</v>
      </c>
      <c r="H28" s="194">
        <f t="shared" si="7"/>
        <v>0</v>
      </c>
      <c r="I28" s="83">
        <f t="shared" si="7"/>
        <v>39000</v>
      </c>
      <c r="J28" s="83">
        <f t="shared" si="7"/>
        <v>0</v>
      </c>
      <c r="K28" s="83">
        <f t="shared" si="7"/>
        <v>0</v>
      </c>
      <c r="L28" s="83">
        <f t="shared" si="7"/>
        <v>0</v>
      </c>
      <c r="M28" s="83">
        <f t="shared" si="7"/>
        <v>0</v>
      </c>
      <c r="N28" s="83">
        <f t="shared" si="7"/>
        <v>0</v>
      </c>
      <c r="O28" s="83">
        <f t="shared" si="7"/>
        <v>0</v>
      </c>
      <c r="P28" s="84">
        <f t="shared" si="1"/>
        <v>429000</v>
      </c>
    </row>
    <row r="29" spans="1:16" ht="29.25">
      <c r="A29" s="167" t="s">
        <v>166</v>
      </c>
      <c r="B29" s="118" t="s">
        <v>247</v>
      </c>
      <c r="C29" s="86"/>
      <c r="D29" s="86"/>
      <c r="E29" s="86"/>
      <c r="F29" s="86"/>
      <c r="G29" s="58"/>
      <c r="H29" s="202"/>
      <c r="I29" s="100"/>
      <c r="J29" s="100"/>
      <c r="K29" s="100"/>
      <c r="L29" s="100"/>
      <c r="M29" s="100"/>
      <c r="N29" s="100"/>
      <c r="O29" s="100"/>
      <c r="P29" s="18">
        <f t="shared" si="1"/>
        <v>0</v>
      </c>
    </row>
    <row r="30" spans="1:16" ht="29.25">
      <c r="A30" s="34" t="s">
        <v>42</v>
      </c>
      <c r="B30" s="20" t="s">
        <v>248</v>
      </c>
      <c r="C30" s="24">
        <v>290000</v>
      </c>
      <c r="D30" s="24"/>
      <c r="E30" s="24"/>
      <c r="F30" s="24"/>
      <c r="G30" s="21">
        <v>100000</v>
      </c>
      <c r="H30" s="203"/>
      <c r="I30" s="39">
        <v>39000</v>
      </c>
      <c r="J30" s="39"/>
      <c r="K30" s="39"/>
      <c r="L30" s="39"/>
      <c r="M30" s="35"/>
      <c r="N30" s="39"/>
      <c r="O30" s="39"/>
      <c r="P30" s="18">
        <f t="shared" si="1"/>
        <v>429000</v>
      </c>
    </row>
    <row r="31" spans="1:16" ht="30" thickBot="1">
      <c r="A31" s="166" t="s">
        <v>43</v>
      </c>
      <c r="B31" s="20" t="s">
        <v>249</v>
      </c>
      <c r="C31" s="44"/>
      <c r="D31" s="44"/>
      <c r="E31" s="44"/>
      <c r="F31" s="44"/>
      <c r="G31" s="44"/>
      <c r="H31" s="204"/>
      <c r="I31" s="44"/>
      <c r="J31" s="44"/>
      <c r="K31" s="44"/>
      <c r="L31" s="45"/>
      <c r="M31" s="188"/>
      <c r="N31" s="241"/>
      <c r="O31" s="189"/>
      <c r="P31" s="116">
        <f t="shared" si="1"/>
        <v>0</v>
      </c>
    </row>
    <row r="32" spans="1:16" ht="15.75" thickBot="1">
      <c r="A32" s="169" t="s">
        <v>44</v>
      </c>
      <c r="B32" s="81" t="s">
        <v>45</v>
      </c>
      <c r="C32" s="82">
        <f aca="true" t="shared" si="8" ref="C32:O32">SUM(C33,C34)</f>
        <v>283561</v>
      </c>
      <c r="D32" s="82">
        <f t="shared" si="8"/>
        <v>8168149</v>
      </c>
      <c r="E32" s="82">
        <f t="shared" si="8"/>
        <v>71470</v>
      </c>
      <c r="F32" s="82">
        <f t="shared" si="8"/>
        <v>140328</v>
      </c>
      <c r="G32" s="82">
        <f t="shared" si="8"/>
        <v>0</v>
      </c>
      <c r="H32" s="82">
        <f t="shared" si="8"/>
        <v>213832</v>
      </c>
      <c r="I32" s="82">
        <f t="shared" si="8"/>
        <v>57654</v>
      </c>
      <c r="J32" s="82">
        <f t="shared" si="8"/>
        <v>105400</v>
      </c>
      <c r="K32" s="82">
        <f t="shared" si="8"/>
        <v>536002</v>
      </c>
      <c r="L32" s="82">
        <f t="shared" si="8"/>
        <v>2700</v>
      </c>
      <c r="M32" s="82">
        <f t="shared" si="8"/>
        <v>25500</v>
      </c>
      <c r="N32" s="82">
        <f t="shared" si="8"/>
        <v>5530</v>
      </c>
      <c r="O32" s="82">
        <f t="shared" si="8"/>
        <v>26250</v>
      </c>
      <c r="P32" s="84">
        <f t="shared" si="1"/>
        <v>9636376</v>
      </c>
    </row>
    <row r="33" spans="1:16" ht="31.5">
      <c r="A33" s="170" t="s">
        <v>227</v>
      </c>
      <c r="B33" s="264" t="s">
        <v>228</v>
      </c>
      <c r="C33" s="63">
        <v>36526</v>
      </c>
      <c r="D33" s="58"/>
      <c r="E33" s="86"/>
      <c r="F33" s="58"/>
      <c r="G33" s="58"/>
      <c r="H33" s="205"/>
      <c r="I33" s="60"/>
      <c r="J33" s="61"/>
      <c r="K33" s="61"/>
      <c r="L33" s="61"/>
      <c r="M33" s="61"/>
      <c r="N33" s="61"/>
      <c r="O33" s="62"/>
      <c r="P33" s="18">
        <f t="shared" si="1"/>
        <v>36526</v>
      </c>
    </row>
    <row r="34" spans="1:16" ht="45">
      <c r="A34" s="36" t="s">
        <v>46</v>
      </c>
      <c r="B34" s="31" t="s">
        <v>250</v>
      </c>
      <c r="C34" s="32">
        <f aca="true" t="shared" si="9" ref="C34:O34">SUM(C35:C40)</f>
        <v>247035</v>
      </c>
      <c r="D34" s="32">
        <f t="shared" si="9"/>
        <v>8168149</v>
      </c>
      <c r="E34" s="41">
        <f t="shared" si="9"/>
        <v>71470</v>
      </c>
      <c r="F34" s="32">
        <f t="shared" si="9"/>
        <v>140328</v>
      </c>
      <c r="G34" s="32">
        <f t="shared" si="9"/>
        <v>0</v>
      </c>
      <c r="H34" s="42">
        <f t="shared" si="9"/>
        <v>213832</v>
      </c>
      <c r="I34" s="41">
        <f t="shared" si="9"/>
        <v>57654</v>
      </c>
      <c r="J34" s="32">
        <f t="shared" si="9"/>
        <v>105400</v>
      </c>
      <c r="K34" s="41">
        <f t="shared" si="9"/>
        <v>536002</v>
      </c>
      <c r="L34" s="32">
        <f t="shared" si="9"/>
        <v>2700</v>
      </c>
      <c r="M34" s="41">
        <f t="shared" si="9"/>
        <v>25500</v>
      </c>
      <c r="N34" s="32">
        <f t="shared" si="9"/>
        <v>5530</v>
      </c>
      <c r="O34" s="42">
        <f t="shared" si="9"/>
        <v>26250</v>
      </c>
      <c r="P34" s="18">
        <f t="shared" si="1"/>
        <v>9599850</v>
      </c>
    </row>
    <row r="35" spans="1:16" ht="57.75">
      <c r="A35" s="23" t="s">
        <v>167</v>
      </c>
      <c r="B35" s="20" t="s">
        <v>168</v>
      </c>
      <c r="C35" s="42"/>
      <c r="D35" s="42"/>
      <c r="E35" s="41"/>
      <c r="F35" s="32"/>
      <c r="G35" s="32"/>
      <c r="H35" s="42"/>
      <c r="I35" s="32"/>
      <c r="J35" s="32"/>
      <c r="K35" s="21"/>
      <c r="L35" s="32"/>
      <c r="M35" s="32"/>
      <c r="N35" s="32"/>
      <c r="O35" s="33"/>
      <c r="P35" s="18">
        <f t="shared" si="1"/>
        <v>0</v>
      </c>
    </row>
    <row r="36" spans="1:16" ht="15">
      <c r="A36" s="23" t="s">
        <v>169</v>
      </c>
      <c r="B36" s="20" t="s">
        <v>170</v>
      </c>
      <c r="C36" s="37">
        <v>108294</v>
      </c>
      <c r="D36" s="37"/>
      <c r="E36" s="40"/>
      <c r="F36" s="21"/>
      <c r="G36" s="21"/>
      <c r="H36" s="42"/>
      <c r="I36" s="32"/>
      <c r="J36" s="35">
        <v>11000</v>
      </c>
      <c r="K36" s="21">
        <v>59274</v>
      </c>
      <c r="L36" s="32"/>
      <c r="M36" s="21">
        <v>3600</v>
      </c>
      <c r="N36" s="32"/>
      <c r="O36" s="33"/>
      <c r="P36" s="18">
        <f t="shared" si="1"/>
        <v>182168</v>
      </c>
    </row>
    <row r="37" spans="1:16" ht="15">
      <c r="A37" s="23" t="s">
        <v>171</v>
      </c>
      <c r="B37" s="20" t="s">
        <v>172</v>
      </c>
      <c r="C37" s="21"/>
      <c r="D37" s="21"/>
      <c r="E37" s="21"/>
      <c r="F37" s="24"/>
      <c r="G37" s="21"/>
      <c r="H37" s="200"/>
      <c r="I37" s="30"/>
      <c r="J37" s="28"/>
      <c r="K37" s="28"/>
      <c r="L37" s="28"/>
      <c r="M37" s="28"/>
      <c r="N37" s="28"/>
      <c r="O37" s="29"/>
      <c r="P37" s="18">
        <f t="shared" si="1"/>
        <v>0</v>
      </c>
    </row>
    <row r="38" spans="1:16" ht="29.25">
      <c r="A38" s="23" t="s">
        <v>173</v>
      </c>
      <c r="B38" s="20" t="s">
        <v>174</v>
      </c>
      <c r="C38" s="21"/>
      <c r="D38" s="21"/>
      <c r="E38" s="21"/>
      <c r="F38" s="24"/>
      <c r="G38" s="21"/>
      <c r="H38" s="200"/>
      <c r="I38" s="27">
        <v>150</v>
      </c>
      <c r="J38" s="28"/>
      <c r="K38" s="28">
        <v>50</v>
      </c>
      <c r="L38" s="28"/>
      <c r="M38" s="28"/>
      <c r="N38" s="28"/>
      <c r="O38" s="29"/>
      <c r="P38" s="18">
        <f t="shared" si="1"/>
        <v>200</v>
      </c>
    </row>
    <row r="39" spans="1:16" ht="15">
      <c r="A39" s="23" t="s">
        <v>47</v>
      </c>
      <c r="B39" s="20" t="s">
        <v>48</v>
      </c>
      <c r="C39" s="21">
        <v>112197</v>
      </c>
      <c r="D39" s="21">
        <v>31116</v>
      </c>
      <c r="E39" s="21">
        <v>31650</v>
      </c>
      <c r="F39" s="24">
        <v>25500</v>
      </c>
      <c r="G39" s="21"/>
      <c r="H39" s="26">
        <v>2100</v>
      </c>
      <c r="I39" s="27">
        <v>2240</v>
      </c>
      <c r="J39" s="28">
        <v>500</v>
      </c>
      <c r="K39" s="28">
        <v>13383</v>
      </c>
      <c r="L39" s="28">
        <v>2000</v>
      </c>
      <c r="M39" s="28">
        <v>2000</v>
      </c>
      <c r="N39" s="28">
        <v>1290</v>
      </c>
      <c r="O39" s="29">
        <v>2350</v>
      </c>
      <c r="P39" s="18">
        <f t="shared" si="1"/>
        <v>226326</v>
      </c>
    </row>
    <row r="40" spans="1:16" ht="30" thickBot="1">
      <c r="A40" s="23" t="s">
        <v>49</v>
      </c>
      <c r="B40" s="20" t="s">
        <v>50</v>
      </c>
      <c r="C40" s="21">
        <v>26544</v>
      </c>
      <c r="D40" s="21">
        <v>8137033</v>
      </c>
      <c r="E40" s="21">
        <v>39820</v>
      </c>
      <c r="F40" s="24">
        <v>114828</v>
      </c>
      <c r="G40" s="21"/>
      <c r="H40" s="196">
        <v>211732</v>
      </c>
      <c r="I40" s="27">
        <v>55264</v>
      </c>
      <c r="J40" s="26">
        <v>93900</v>
      </c>
      <c r="K40" s="26">
        <v>463295</v>
      </c>
      <c r="L40" s="26">
        <v>700</v>
      </c>
      <c r="M40" s="26">
        <v>19900</v>
      </c>
      <c r="N40" s="26">
        <v>4240</v>
      </c>
      <c r="O40" s="26">
        <v>23900</v>
      </c>
      <c r="P40" s="18">
        <f t="shared" si="1"/>
        <v>9191156</v>
      </c>
    </row>
    <row r="41" spans="1:16" ht="15.75" thickBot="1">
      <c r="A41" s="49"/>
      <c r="B41" s="50" t="s">
        <v>51</v>
      </c>
      <c r="C41" s="51">
        <f aca="true" t="shared" si="10" ref="C41:O41">SUM(C8+C18+C26+C28+C32)</f>
        <v>17584255</v>
      </c>
      <c r="D41" s="52">
        <f t="shared" si="10"/>
        <v>8911063</v>
      </c>
      <c r="E41" s="53">
        <f t="shared" si="10"/>
        <v>73578</v>
      </c>
      <c r="F41" s="54">
        <f t="shared" si="10"/>
        <v>210590</v>
      </c>
      <c r="G41" s="52">
        <f t="shared" si="10"/>
        <v>103792</v>
      </c>
      <c r="H41" s="206">
        <f t="shared" si="10"/>
        <v>278292</v>
      </c>
      <c r="I41" s="55">
        <f t="shared" si="10"/>
        <v>118502</v>
      </c>
      <c r="J41" s="55">
        <f t="shared" si="10"/>
        <v>133900</v>
      </c>
      <c r="K41" s="55">
        <f t="shared" si="10"/>
        <v>637309</v>
      </c>
      <c r="L41" s="55">
        <f t="shared" si="10"/>
        <v>24150</v>
      </c>
      <c r="M41" s="55">
        <f t="shared" si="10"/>
        <v>51028</v>
      </c>
      <c r="N41" s="56">
        <f t="shared" si="10"/>
        <v>118172</v>
      </c>
      <c r="O41" s="56">
        <f t="shared" si="10"/>
        <v>55370</v>
      </c>
      <c r="P41" s="84">
        <f t="shared" si="1"/>
        <v>28300001</v>
      </c>
    </row>
    <row r="42" spans="1:16" ht="15">
      <c r="A42" s="265" t="s">
        <v>175</v>
      </c>
      <c r="B42" s="57" t="s">
        <v>52</v>
      </c>
      <c r="C42" s="242">
        <v>4596012</v>
      </c>
      <c r="D42" s="58"/>
      <c r="E42" s="58"/>
      <c r="F42" s="58"/>
      <c r="G42" s="58"/>
      <c r="H42" s="199"/>
      <c r="I42" s="60"/>
      <c r="J42" s="61"/>
      <c r="K42" s="61"/>
      <c r="L42" s="61"/>
      <c r="M42" s="61"/>
      <c r="N42" s="62">
        <v>111450</v>
      </c>
      <c r="O42" s="61">
        <v>27200</v>
      </c>
      <c r="P42" s="18">
        <f t="shared" si="1"/>
        <v>4734662</v>
      </c>
    </row>
    <row r="43" spans="1:16" ht="15">
      <c r="A43" s="64"/>
      <c r="B43" s="65" t="s">
        <v>53</v>
      </c>
      <c r="C43" s="66">
        <f aca="true" t="shared" si="11" ref="C43:O43">SUM(C41:C42)</f>
        <v>22180267</v>
      </c>
      <c r="D43" s="67">
        <f t="shared" si="11"/>
        <v>8911063</v>
      </c>
      <c r="E43" s="67">
        <f t="shared" si="11"/>
        <v>73578</v>
      </c>
      <c r="F43" s="67">
        <f t="shared" si="11"/>
        <v>210590</v>
      </c>
      <c r="G43" s="67">
        <f t="shared" si="11"/>
        <v>103792</v>
      </c>
      <c r="H43" s="207">
        <f t="shared" si="11"/>
        <v>278292</v>
      </c>
      <c r="I43" s="67">
        <f t="shared" si="11"/>
        <v>118502</v>
      </c>
      <c r="J43" s="67">
        <f t="shared" si="11"/>
        <v>133900</v>
      </c>
      <c r="K43" s="67">
        <f t="shared" si="11"/>
        <v>637309</v>
      </c>
      <c r="L43" s="67">
        <f t="shared" si="11"/>
        <v>24150</v>
      </c>
      <c r="M43" s="67">
        <f t="shared" si="11"/>
        <v>51028</v>
      </c>
      <c r="N43" s="68">
        <f t="shared" si="11"/>
        <v>229622</v>
      </c>
      <c r="O43" s="67">
        <f t="shared" si="11"/>
        <v>82570</v>
      </c>
      <c r="P43" s="18">
        <f t="shared" si="1"/>
        <v>33034663</v>
      </c>
    </row>
    <row r="44" spans="1:16" ht="15">
      <c r="A44" s="64"/>
      <c r="B44" s="69" t="s">
        <v>430</v>
      </c>
      <c r="C44" s="70">
        <v>3213491</v>
      </c>
      <c r="D44" s="21">
        <v>1533044</v>
      </c>
      <c r="E44" s="21">
        <v>16970</v>
      </c>
      <c r="F44" s="21">
        <v>29724</v>
      </c>
      <c r="G44" s="21">
        <v>5187</v>
      </c>
      <c r="H44" s="26">
        <v>107322</v>
      </c>
      <c r="I44" s="27">
        <v>47261</v>
      </c>
      <c r="J44" s="28">
        <v>43481</v>
      </c>
      <c r="K44" s="28">
        <v>196058</v>
      </c>
      <c r="L44" s="28">
        <v>29010</v>
      </c>
      <c r="M44" s="28">
        <v>22737</v>
      </c>
      <c r="N44" s="29">
        <v>7119</v>
      </c>
      <c r="O44" s="28">
        <v>66762</v>
      </c>
      <c r="P44" s="18">
        <f t="shared" si="1"/>
        <v>5318166</v>
      </c>
    </row>
    <row r="45" spans="1:16" ht="15">
      <c r="A45" s="175" t="s">
        <v>230</v>
      </c>
      <c r="B45" s="208" t="s">
        <v>231</v>
      </c>
      <c r="C45" s="70"/>
      <c r="D45" s="21"/>
      <c r="E45" s="21"/>
      <c r="F45" s="21"/>
      <c r="G45" s="21"/>
      <c r="H45" s="26"/>
      <c r="I45" s="27"/>
      <c r="J45" s="28"/>
      <c r="K45" s="28"/>
      <c r="L45" s="28"/>
      <c r="M45" s="28"/>
      <c r="N45" s="29"/>
      <c r="O45" s="28"/>
      <c r="P45" s="18">
        <f t="shared" si="1"/>
        <v>0</v>
      </c>
    </row>
    <row r="46" spans="1:16" ht="15">
      <c r="A46" s="64"/>
      <c r="B46" s="69" t="s">
        <v>54</v>
      </c>
      <c r="C46" s="66">
        <f>SUM(C43:C44)</f>
        <v>25393758</v>
      </c>
      <c r="D46" s="67">
        <f>SUM(D43:D44)</f>
        <v>10444107</v>
      </c>
      <c r="E46" s="67">
        <f>SUM(E43:E44)</f>
        <v>90548</v>
      </c>
      <c r="F46" s="67">
        <f aca="true" t="shared" si="12" ref="F46:O46">SUM(F43:F45)</f>
        <v>240314</v>
      </c>
      <c r="G46" s="67">
        <f t="shared" si="12"/>
        <v>108979</v>
      </c>
      <c r="H46" s="207">
        <f t="shared" si="12"/>
        <v>385614</v>
      </c>
      <c r="I46" s="67">
        <f t="shared" si="12"/>
        <v>165763</v>
      </c>
      <c r="J46" s="67">
        <f t="shared" si="12"/>
        <v>177381</v>
      </c>
      <c r="K46" s="67">
        <f t="shared" si="12"/>
        <v>833367</v>
      </c>
      <c r="L46" s="67">
        <f t="shared" si="12"/>
        <v>53160</v>
      </c>
      <c r="M46" s="67">
        <f t="shared" si="12"/>
        <v>73765</v>
      </c>
      <c r="N46" s="67">
        <f t="shared" si="12"/>
        <v>236741</v>
      </c>
      <c r="O46" s="67">
        <f t="shared" si="12"/>
        <v>149332</v>
      </c>
      <c r="P46" s="18">
        <f t="shared" si="1"/>
        <v>38352829</v>
      </c>
    </row>
    <row r="47" spans="1:16" ht="15">
      <c r="A47" s="71"/>
      <c r="B47" s="72"/>
      <c r="C47" s="73"/>
      <c r="D47" s="74"/>
      <c r="E47" s="74"/>
      <c r="F47" s="74"/>
      <c r="G47" s="74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5">
      <c r="A48" s="71"/>
      <c r="B48" s="72"/>
      <c r="C48" s="73"/>
      <c r="D48" s="74"/>
      <c r="E48" s="74"/>
      <c r="F48" s="74"/>
      <c r="G48" s="74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5">
      <c r="A49" s="71"/>
      <c r="B49" s="72"/>
      <c r="C49" s="73"/>
      <c r="D49" s="74"/>
      <c r="E49" s="74"/>
      <c r="F49" s="74"/>
      <c r="G49" s="74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5">
      <c r="A50" s="71"/>
      <c r="B50" s="72"/>
      <c r="C50" s="173"/>
      <c r="D50" s="74"/>
      <c r="E50" s="74"/>
      <c r="F50" s="74"/>
      <c r="G50" s="74"/>
      <c r="H50" s="75"/>
      <c r="I50" s="75"/>
      <c r="J50" s="75"/>
      <c r="K50" s="75"/>
      <c r="L50" s="75"/>
      <c r="M50" s="75"/>
      <c r="N50" s="75"/>
      <c r="O50" s="75"/>
      <c r="P50" s="75"/>
    </row>
    <row r="51" spans="2:4" ht="15">
      <c r="B51" s="76" t="s">
        <v>23</v>
      </c>
      <c r="D51" s="4" t="s">
        <v>24</v>
      </c>
    </row>
    <row r="52" ht="15">
      <c r="B52" s="76"/>
    </row>
    <row r="53" ht="15">
      <c r="B53" s="76"/>
    </row>
    <row r="54" ht="15">
      <c r="B54" s="76"/>
    </row>
    <row r="55" spans="1:16" ht="15">
      <c r="A55" s="71"/>
      <c r="B55" s="72"/>
      <c r="C55" s="451" t="s">
        <v>55</v>
      </c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</row>
    <row r="56" spans="1:16" ht="15">
      <c r="A56" s="71"/>
      <c r="B56" s="72"/>
      <c r="C56" s="453" t="s">
        <v>12</v>
      </c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</row>
    <row r="57" spans="1:16" ht="15">
      <c r="A57" s="78"/>
      <c r="B57" s="79"/>
      <c r="C57" s="453" t="s">
        <v>458</v>
      </c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</row>
    <row r="58" spans="1:7" ht="15">
      <c r="A58" s="78"/>
      <c r="B58" s="79"/>
      <c r="E58" s="6"/>
      <c r="F58" s="6"/>
      <c r="G58" s="6"/>
    </row>
    <row r="59" spans="1:4" ht="43.5" customHeight="1" thickBot="1">
      <c r="A59" s="450" t="s">
        <v>431</v>
      </c>
      <c r="B59" s="450"/>
      <c r="C59" s="450"/>
      <c r="D59" s="450"/>
    </row>
    <row r="60" spans="1:16" ht="86.25" thickBot="1">
      <c r="A60" s="9" t="s">
        <v>10</v>
      </c>
      <c r="B60" s="10" t="s">
        <v>153</v>
      </c>
      <c r="C60" s="11" t="s">
        <v>414</v>
      </c>
      <c r="D60" s="12" t="s">
        <v>416</v>
      </c>
      <c r="E60" s="11" t="s">
        <v>417</v>
      </c>
      <c r="F60" s="13" t="s">
        <v>418</v>
      </c>
      <c r="G60" s="11" t="s">
        <v>419</v>
      </c>
      <c r="H60" s="193" t="s">
        <v>420</v>
      </c>
      <c r="I60" s="186" t="s">
        <v>421</v>
      </c>
      <c r="J60" s="186" t="s">
        <v>422</v>
      </c>
      <c r="K60" s="186" t="s">
        <v>423</v>
      </c>
      <c r="L60" s="186" t="s">
        <v>424</v>
      </c>
      <c r="M60" s="186" t="s">
        <v>425</v>
      </c>
      <c r="N60" s="186" t="s">
        <v>426</v>
      </c>
      <c r="O60" s="187" t="s">
        <v>427</v>
      </c>
      <c r="P60" s="14" t="s">
        <v>428</v>
      </c>
    </row>
    <row r="61" spans="1:16" ht="15.75" thickBot="1">
      <c r="A61" s="80" t="s">
        <v>56</v>
      </c>
      <c r="B61" s="81" t="s">
        <v>57</v>
      </c>
      <c r="C61" s="82">
        <f aca="true" t="shared" si="13" ref="C61:O61">C62+C63+C65+C66+C69</f>
        <v>2361021</v>
      </c>
      <c r="D61" s="82">
        <f t="shared" si="13"/>
        <v>0</v>
      </c>
      <c r="E61" s="82">
        <f t="shared" si="13"/>
        <v>0</v>
      </c>
      <c r="F61" s="82">
        <f t="shared" si="13"/>
        <v>0</v>
      </c>
      <c r="G61" s="82">
        <f t="shared" si="13"/>
        <v>0</v>
      </c>
      <c r="H61" s="82">
        <f t="shared" si="13"/>
        <v>83748</v>
      </c>
      <c r="I61" s="82">
        <f t="shared" si="13"/>
        <v>79640</v>
      </c>
      <c r="J61" s="82">
        <f t="shared" si="13"/>
        <v>64447</v>
      </c>
      <c r="K61" s="82">
        <f t="shared" si="13"/>
        <v>125180</v>
      </c>
      <c r="L61" s="82">
        <f t="shared" si="13"/>
        <v>66828</v>
      </c>
      <c r="M61" s="82">
        <f t="shared" si="13"/>
        <v>42778</v>
      </c>
      <c r="N61" s="82">
        <f t="shared" si="13"/>
        <v>43475</v>
      </c>
      <c r="O61" s="82">
        <f t="shared" si="13"/>
        <v>69892</v>
      </c>
      <c r="P61" s="84">
        <f aca="true" t="shared" si="14" ref="P61:P93">SUM(C61:O61)</f>
        <v>2937009</v>
      </c>
    </row>
    <row r="62" spans="1:16" ht="30">
      <c r="A62" s="85" t="s">
        <v>251</v>
      </c>
      <c r="B62" s="15" t="s">
        <v>252</v>
      </c>
      <c r="C62" s="17">
        <v>1601353</v>
      </c>
      <c r="D62" s="58"/>
      <c r="E62" s="58"/>
      <c r="F62" s="86"/>
      <c r="G62" s="58"/>
      <c r="H62" s="138">
        <v>82448</v>
      </c>
      <c r="I62" s="138">
        <v>79000</v>
      </c>
      <c r="J62" s="138">
        <v>52752</v>
      </c>
      <c r="K62" s="138">
        <f>113008-128</f>
        <v>112880</v>
      </c>
      <c r="L62" s="138">
        <v>66828</v>
      </c>
      <c r="M62" s="138">
        <v>38928</v>
      </c>
      <c r="N62" s="138">
        <v>39940</v>
      </c>
      <c r="O62" s="171">
        <v>58567</v>
      </c>
      <c r="P62" s="163">
        <f t="shared" si="14"/>
        <v>2132696</v>
      </c>
    </row>
    <row r="63" spans="1:16" ht="15">
      <c r="A63" s="88" t="s">
        <v>58</v>
      </c>
      <c r="B63" s="31" t="s">
        <v>59</v>
      </c>
      <c r="C63" s="33">
        <f>SUM(C64:C64)</f>
        <v>374138</v>
      </c>
      <c r="D63" s="33">
        <f>SUM(D64:D64)</f>
        <v>0</v>
      </c>
      <c r="E63" s="32"/>
      <c r="F63" s="33"/>
      <c r="G63" s="32"/>
      <c r="H63" s="41">
        <f aca="true" t="shared" si="15" ref="H63:O63">SUM(H64:H64)</f>
        <v>1300</v>
      </c>
      <c r="I63" s="32">
        <f t="shared" si="15"/>
        <v>640</v>
      </c>
      <c r="J63" s="32">
        <f t="shared" si="15"/>
        <v>10695</v>
      </c>
      <c r="K63" s="33">
        <f t="shared" si="15"/>
        <v>10400</v>
      </c>
      <c r="L63" s="33">
        <f t="shared" si="15"/>
        <v>0</v>
      </c>
      <c r="M63" s="33">
        <f t="shared" si="15"/>
        <v>3850</v>
      </c>
      <c r="N63" s="33">
        <f t="shared" si="15"/>
        <v>3535</v>
      </c>
      <c r="O63" s="33">
        <f t="shared" si="15"/>
        <v>11325</v>
      </c>
      <c r="P63" s="22">
        <f t="shared" si="14"/>
        <v>415883</v>
      </c>
    </row>
    <row r="64" spans="1:16" ht="29.25">
      <c r="A64" s="87" t="s">
        <v>60</v>
      </c>
      <c r="B64" s="20" t="s">
        <v>61</v>
      </c>
      <c r="C64" s="24">
        <v>374138</v>
      </c>
      <c r="D64" s="21"/>
      <c r="E64" s="21"/>
      <c r="F64" s="24"/>
      <c r="G64" s="21"/>
      <c r="H64" s="89">
        <v>1300</v>
      </c>
      <c r="I64" s="30">
        <v>640</v>
      </c>
      <c r="J64" s="27">
        <v>10695</v>
      </c>
      <c r="K64" s="28">
        <v>10400</v>
      </c>
      <c r="L64" s="28"/>
      <c r="M64" s="28">
        <v>3850</v>
      </c>
      <c r="N64" s="28">
        <v>3535</v>
      </c>
      <c r="O64" s="28">
        <v>11325</v>
      </c>
      <c r="P64" s="22">
        <f t="shared" si="14"/>
        <v>415883</v>
      </c>
    </row>
    <row r="65" spans="1:16" ht="30">
      <c r="A65" s="88" t="s">
        <v>253</v>
      </c>
      <c r="B65" s="90" t="s">
        <v>254</v>
      </c>
      <c r="C65" s="24">
        <v>576</v>
      </c>
      <c r="D65" s="24"/>
      <c r="E65" s="21"/>
      <c r="F65" s="24"/>
      <c r="G65" s="21"/>
      <c r="H65" s="209"/>
      <c r="I65" s="30"/>
      <c r="J65" s="30"/>
      <c r="K65" s="29"/>
      <c r="L65" s="29"/>
      <c r="M65" s="29"/>
      <c r="N65" s="29"/>
      <c r="O65" s="29"/>
      <c r="P65" s="22">
        <f t="shared" si="14"/>
        <v>576</v>
      </c>
    </row>
    <row r="66" spans="1:16" ht="45">
      <c r="A66" s="88" t="s">
        <v>62</v>
      </c>
      <c r="B66" s="90" t="s">
        <v>63</v>
      </c>
      <c r="C66" s="33">
        <f>SUM(C67:C68)</f>
        <v>290000</v>
      </c>
      <c r="D66" s="33">
        <f>SUM(D67:D68)</f>
        <v>0</v>
      </c>
      <c r="E66" s="32"/>
      <c r="F66" s="33"/>
      <c r="G66" s="32"/>
      <c r="H66" s="41">
        <f aca="true" t="shared" si="16" ref="H66:O66">SUM(H67:H68)</f>
        <v>0</v>
      </c>
      <c r="I66" s="32">
        <f t="shared" si="16"/>
        <v>0</v>
      </c>
      <c r="J66" s="32">
        <f t="shared" si="16"/>
        <v>0</v>
      </c>
      <c r="K66" s="33">
        <f t="shared" si="16"/>
        <v>0</v>
      </c>
      <c r="L66" s="33">
        <f t="shared" si="16"/>
        <v>0</v>
      </c>
      <c r="M66" s="33">
        <f t="shared" si="16"/>
        <v>0</v>
      </c>
      <c r="N66" s="33">
        <f t="shared" si="16"/>
        <v>0</v>
      </c>
      <c r="O66" s="33">
        <f t="shared" si="16"/>
        <v>0</v>
      </c>
      <c r="P66" s="22">
        <f t="shared" si="14"/>
        <v>290000</v>
      </c>
    </row>
    <row r="67" spans="1:16" ht="29.25">
      <c r="A67" s="91" t="s">
        <v>255</v>
      </c>
      <c r="B67" s="20" t="s">
        <v>64</v>
      </c>
      <c r="C67" s="24"/>
      <c r="D67" s="21"/>
      <c r="E67" s="21"/>
      <c r="F67" s="24"/>
      <c r="G67" s="21"/>
      <c r="H67" s="200"/>
      <c r="I67" s="30"/>
      <c r="J67" s="30"/>
      <c r="K67" s="28"/>
      <c r="L67" s="28"/>
      <c r="M67" s="28"/>
      <c r="N67" s="28"/>
      <c r="O67" s="29"/>
      <c r="P67" s="22">
        <f t="shared" si="14"/>
        <v>0</v>
      </c>
    </row>
    <row r="68" spans="1:16" ht="29.25">
      <c r="A68" s="91" t="s">
        <v>256</v>
      </c>
      <c r="B68" s="20" t="s">
        <v>65</v>
      </c>
      <c r="C68" s="24">
        <v>290000</v>
      </c>
      <c r="D68" s="21"/>
      <c r="E68" s="21"/>
      <c r="F68" s="24"/>
      <c r="G68" s="21"/>
      <c r="H68" s="26"/>
      <c r="I68" s="27"/>
      <c r="J68" s="27"/>
      <c r="K68" s="28"/>
      <c r="L68" s="28"/>
      <c r="M68" s="28"/>
      <c r="N68" s="28"/>
      <c r="O68" s="29"/>
      <c r="P68" s="22">
        <f t="shared" si="14"/>
        <v>290000</v>
      </c>
    </row>
    <row r="69" spans="1:16" s="77" customFormat="1" ht="15.75" thickBot="1">
      <c r="A69" s="92" t="s">
        <v>66</v>
      </c>
      <c r="B69" s="93" t="s">
        <v>257</v>
      </c>
      <c r="C69" s="94">
        <f>110000-10425-4621</f>
        <v>94954</v>
      </c>
      <c r="D69" s="95"/>
      <c r="E69" s="95"/>
      <c r="F69" s="94"/>
      <c r="G69" s="95"/>
      <c r="H69" s="210"/>
      <c r="I69" s="96"/>
      <c r="J69" s="243">
        <v>1000</v>
      </c>
      <c r="K69" s="97">
        <f>2300-400</f>
        <v>1900</v>
      </c>
      <c r="L69" s="97"/>
      <c r="M69" s="97"/>
      <c r="N69" s="97"/>
      <c r="O69" s="98"/>
      <c r="P69" s="133">
        <f t="shared" si="14"/>
        <v>97854</v>
      </c>
    </row>
    <row r="70" spans="1:16" ht="15.75" thickBot="1">
      <c r="A70" s="99" t="s">
        <v>67</v>
      </c>
      <c r="B70" s="81" t="s">
        <v>68</v>
      </c>
      <c r="C70" s="82">
        <f>SUM(C71:C73)</f>
        <v>456566</v>
      </c>
      <c r="D70" s="82">
        <f>SUM(D71:D73)</f>
        <v>4110</v>
      </c>
      <c r="E70" s="82">
        <f>SUM(E71:E73)</f>
        <v>0</v>
      </c>
      <c r="F70" s="82">
        <f>SUM(F71:F73)</f>
        <v>0</v>
      </c>
      <c r="G70" s="83"/>
      <c r="H70" s="194">
        <f aca="true" t="shared" si="17" ref="H70:O70">SUM(H71:H73)</f>
        <v>3195</v>
      </c>
      <c r="I70" s="83">
        <f t="shared" si="17"/>
        <v>0</v>
      </c>
      <c r="J70" s="83">
        <f t="shared" si="17"/>
        <v>0</v>
      </c>
      <c r="K70" s="82">
        <f t="shared" si="17"/>
        <v>2928</v>
      </c>
      <c r="L70" s="82">
        <f t="shared" si="17"/>
        <v>0</v>
      </c>
      <c r="M70" s="82">
        <f t="shared" si="17"/>
        <v>0</v>
      </c>
      <c r="N70" s="82">
        <f t="shared" si="17"/>
        <v>0</v>
      </c>
      <c r="O70" s="82">
        <f t="shared" si="17"/>
        <v>5896</v>
      </c>
      <c r="P70" s="84">
        <f t="shared" si="14"/>
        <v>472695</v>
      </c>
    </row>
    <row r="71" spans="1:16" ht="15.75" thickBot="1">
      <c r="A71" s="85" t="s">
        <v>258</v>
      </c>
      <c r="B71" s="15" t="s">
        <v>20</v>
      </c>
      <c r="C71" s="100">
        <v>412301</v>
      </c>
      <c r="D71" s="58"/>
      <c r="E71" s="58"/>
      <c r="F71" s="86"/>
      <c r="G71" s="58"/>
      <c r="H71" s="199"/>
      <c r="I71" s="60"/>
      <c r="J71" s="60"/>
      <c r="K71" s="61"/>
      <c r="L71" s="61"/>
      <c r="M71" s="61"/>
      <c r="N71" s="61"/>
      <c r="O71" s="62"/>
      <c r="P71" s="183">
        <f>SUM(C71:O71)</f>
        <v>412301</v>
      </c>
    </row>
    <row r="72" spans="1:16" ht="30">
      <c r="A72" s="101" t="s">
        <v>413</v>
      </c>
      <c r="B72" s="255" t="s">
        <v>456</v>
      </c>
      <c r="C72" s="256">
        <v>40000</v>
      </c>
      <c r="D72" s="192">
        <v>4110</v>
      </c>
      <c r="E72" s="192"/>
      <c r="F72" s="114"/>
      <c r="G72" s="192"/>
      <c r="H72" s="257"/>
      <c r="I72" s="140"/>
      <c r="J72" s="140"/>
      <c r="K72" s="258"/>
      <c r="L72" s="258"/>
      <c r="M72" s="258"/>
      <c r="N72" s="258"/>
      <c r="O72" s="115"/>
      <c r="P72" s="183">
        <f>SUM(C72:O72)</f>
        <v>44110</v>
      </c>
    </row>
    <row r="73" spans="1:16" s="77" customFormat="1" ht="45.75" thickBot="1">
      <c r="A73" s="102" t="s">
        <v>69</v>
      </c>
      <c r="B73" s="93" t="s">
        <v>259</v>
      </c>
      <c r="C73" s="95">
        <v>4265</v>
      </c>
      <c r="D73" s="95"/>
      <c r="E73" s="95"/>
      <c r="F73" s="95"/>
      <c r="G73" s="95"/>
      <c r="H73" s="211">
        <v>3195</v>
      </c>
      <c r="I73" s="96"/>
      <c r="J73" s="96"/>
      <c r="K73" s="97">
        <v>2928</v>
      </c>
      <c r="L73" s="97"/>
      <c r="M73" s="97"/>
      <c r="N73" s="97"/>
      <c r="O73" s="98">
        <v>5896</v>
      </c>
      <c r="P73" s="212">
        <f t="shared" si="14"/>
        <v>16284</v>
      </c>
    </row>
    <row r="74" spans="1:16" ht="15.75" thickBot="1">
      <c r="A74" s="99" t="s">
        <v>1</v>
      </c>
      <c r="B74" s="81" t="s">
        <v>70</v>
      </c>
      <c r="C74" s="82">
        <f aca="true" t="shared" si="18" ref="C74:O74">SUM(C75,C84:C87,C94,C96,C98)</f>
        <v>3031193</v>
      </c>
      <c r="D74" s="82">
        <f t="shared" si="18"/>
        <v>179064</v>
      </c>
      <c r="E74" s="82">
        <f t="shared" si="18"/>
        <v>0</v>
      </c>
      <c r="F74" s="82">
        <f t="shared" si="18"/>
        <v>0</v>
      </c>
      <c r="G74" s="82">
        <f t="shared" si="18"/>
        <v>253792</v>
      </c>
      <c r="H74" s="82">
        <f t="shared" si="18"/>
        <v>31768</v>
      </c>
      <c r="I74" s="82">
        <f t="shared" si="18"/>
        <v>16328</v>
      </c>
      <c r="J74" s="82">
        <f t="shared" si="18"/>
        <v>18243</v>
      </c>
      <c r="K74" s="82">
        <f t="shared" si="18"/>
        <v>59423</v>
      </c>
      <c r="L74" s="82">
        <f t="shared" si="18"/>
        <v>0</v>
      </c>
      <c r="M74" s="82">
        <f t="shared" si="18"/>
        <v>9799</v>
      </c>
      <c r="N74" s="82">
        <f t="shared" si="18"/>
        <v>1830</v>
      </c>
      <c r="O74" s="82">
        <f t="shared" si="18"/>
        <v>0</v>
      </c>
      <c r="P74" s="84">
        <f t="shared" si="14"/>
        <v>3601440</v>
      </c>
    </row>
    <row r="75" spans="1:16" ht="15">
      <c r="A75" s="85" t="s">
        <v>71</v>
      </c>
      <c r="B75" s="104" t="s">
        <v>72</v>
      </c>
      <c r="C75" s="17">
        <f aca="true" t="shared" si="19" ref="C75:O75">SUM(C76:C83)</f>
        <v>46776</v>
      </c>
      <c r="D75" s="17">
        <f t="shared" si="19"/>
        <v>0</v>
      </c>
      <c r="E75" s="17">
        <f t="shared" si="19"/>
        <v>0</v>
      </c>
      <c r="F75" s="17">
        <f t="shared" si="19"/>
        <v>0</v>
      </c>
      <c r="G75" s="17">
        <f t="shared" si="19"/>
        <v>0</v>
      </c>
      <c r="H75" s="17">
        <f t="shared" si="19"/>
        <v>0</v>
      </c>
      <c r="I75" s="17">
        <f t="shared" si="19"/>
        <v>0</v>
      </c>
      <c r="J75" s="17">
        <f t="shared" si="19"/>
        <v>0</v>
      </c>
      <c r="K75" s="17">
        <f t="shared" si="19"/>
        <v>0</v>
      </c>
      <c r="L75" s="17">
        <f t="shared" si="19"/>
        <v>0</v>
      </c>
      <c r="M75" s="17">
        <f t="shared" si="19"/>
        <v>0</v>
      </c>
      <c r="N75" s="17">
        <f t="shared" si="19"/>
        <v>0</v>
      </c>
      <c r="O75" s="17">
        <f t="shared" si="19"/>
        <v>0</v>
      </c>
      <c r="P75" s="183">
        <f t="shared" si="14"/>
        <v>46776</v>
      </c>
    </row>
    <row r="76" spans="1:16" ht="14.25">
      <c r="A76" s="117" t="s">
        <v>260</v>
      </c>
      <c r="B76" s="61" t="s">
        <v>261</v>
      </c>
      <c r="C76" s="86">
        <v>13450</v>
      </c>
      <c r="D76" s="58"/>
      <c r="E76" s="58"/>
      <c r="F76" s="86"/>
      <c r="G76" s="58"/>
      <c r="H76" s="205"/>
      <c r="I76" s="60"/>
      <c r="J76" s="59"/>
      <c r="K76" s="61"/>
      <c r="L76" s="61"/>
      <c r="M76" s="61"/>
      <c r="N76" s="61"/>
      <c r="O76" s="62"/>
      <c r="P76" s="213">
        <f t="shared" si="14"/>
        <v>13450</v>
      </c>
    </row>
    <row r="77" spans="1:16" ht="14.25">
      <c r="A77" s="117" t="s">
        <v>262</v>
      </c>
      <c r="B77" s="111" t="s">
        <v>237</v>
      </c>
      <c r="C77" s="86"/>
      <c r="D77" s="58"/>
      <c r="E77" s="58"/>
      <c r="F77" s="86"/>
      <c r="G77" s="58"/>
      <c r="H77" s="205"/>
      <c r="I77" s="60"/>
      <c r="J77" s="60"/>
      <c r="K77" s="61"/>
      <c r="L77" s="61"/>
      <c r="M77" s="61"/>
      <c r="N77" s="61"/>
      <c r="O77" s="62"/>
      <c r="P77" s="214">
        <f t="shared" si="14"/>
        <v>0</v>
      </c>
    </row>
    <row r="78" spans="1:16" ht="14.25">
      <c r="A78" s="117" t="s">
        <v>263</v>
      </c>
      <c r="B78" s="111" t="s">
        <v>176</v>
      </c>
      <c r="C78" s="86"/>
      <c r="D78" s="58"/>
      <c r="E78" s="58"/>
      <c r="F78" s="86"/>
      <c r="G78" s="58"/>
      <c r="H78" s="205"/>
      <c r="I78" s="60"/>
      <c r="J78" s="60"/>
      <c r="K78" s="61"/>
      <c r="L78" s="61"/>
      <c r="M78" s="61"/>
      <c r="N78" s="61"/>
      <c r="O78" s="62"/>
      <c r="P78" s="214">
        <f t="shared" si="14"/>
        <v>0</v>
      </c>
    </row>
    <row r="79" spans="1:16" ht="14.25">
      <c r="A79" s="117" t="s">
        <v>264</v>
      </c>
      <c r="B79" s="111" t="s">
        <v>265</v>
      </c>
      <c r="C79" s="86">
        <v>6000</v>
      </c>
      <c r="D79" s="58"/>
      <c r="E79" s="58"/>
      <c r="F79" s="86"/>
      <c r="G79" s="58"/>
      <c r="H79" s="205"/>
      <c r="I79" s="60"/>
      <c r="J79" s="60"/>
      <c r="K79" s="61"/>
      <c r="L79" s="61"/>
      <c r="M79" s="61"/>
      <c r="N79" s="61"/>
      <c r="O79" s="62"/>
      <c r="P79" s="214">
        <f t="shared" si="14"/>
        <v>6000</v>
      </c>
    </row>
    <row r="80" spans="1:16" ht="14.25">
      <c r="A80" s="117" t="s">
        <v>266</v>
      </c>
      <c r="B80" s="111" t="s">
        <v>242</v>
      </c>
      <c r="C80" s="86"/>
      <c r="D80" s="58"/>
      <c r="E80" s="58"/>
      <c r="F80" s="86"/>
      <c r="G80" s="58"/>
      <c r="H80" s="205"/>
      <c r="I80" s="60"/>
      <c r="J80" s="60"/>
      <c r="K80" s="61"/>
      <c r="L80" s="61"/>
      <c r="M80" s="61"/>
      <c r="N80" s="61"/>
      <c r="O80" s="62"/>
      <c r="P80" s="214">
        <f t="shared" si="14"/>
        <v>0</v>
      </c>
    </row>
    <row r="81" spans="1:16" ht="28.5">
      <c r="A81" s="117" t="s">
        <v>267</v>
      </c>
      <c r="B81" s="106" t="s">
        <v>268</v>
      </c>
      <c r="C81" s="86">
        <v>25060</v>
      </c>
      <c r="D81" s="58"/>
      <c r="E81" s="58"/>
      <c r="F81" s="86"/>
      <c r="G81" s="58"/>
      <c r="H81" s="205"/>
      <c r="I81" s="60"/>
      <c r="J81" s="60"/>
      <c r="K81" s="61"/>
      <c r="L81" s="61"/>
      <c r="M81" s="61"/>
      <c r="N81" s="61"/>
      <c r="O81" s="62"/>
      <c r="P81" s="214">
        <f t="shared" si="14"/>
        <v>25060</v>
      </c>
    </row>
    <row r="82" spans="1:16" ht="14.25">
      <c r="A82" s="117" t="s">
        <v>269</v>
      </c>
      <c r="B82" s="106" t="s">
        <v>270</v>
      </c>
      <c r="C82" s="86">
        <v>1266</v>
      </c>
      <c r="D82" s="58"/>
      <c r="E82" s="58"/>
      <c r="F82" s="86"/>
      <c r="G82" s="58"/>
      <c r="H82" s="205"/>
      <c r="I82" s="60"/>
      <c r="J82" s="60"/>
      <c r="K82" s="61"/>
      <c r="L82" s="61"/>
      <c r="M82" s="61"/>
      <c r="N82" s="61"/>
      <c r="O82" s="62"/>
      <c r="P82" s="214">
        <f t="shared" si="14"/>
        <v>1266</v>
      </c>
    </row>
    <row r="83" spans="1:16" ht="14.25">
      <c r="A83" s="117" t="s">
        <v>271</v>
      </c>
      <c r="B83" s="106" t="s">
        <v>272</v>
      </c>
      <c r="C83" s="24">
        <v>1000</v>
      </c>
      <c r="D83" s="21"/>
      <c r="E83" s="21"/>
      <c r="F83" s="24"/>
      <c r="G83" s="21"/>
      <c r="H83" s="89"/>
      <c r="I83" s="30"/>
      <c r="J83" s="30"/>
      <c r="K83" s="28"/>
      <c r="L83" s="28"/>
      <c r="M83" s="28"/>
      <c r="N83" s="28"/>
      <c r="O83" s="29"/>
      <c r="P83" s="214">
        <f t="shared" si="14"/>
        <v>1000</v>
      </c>
    </row>
    <row r="84" spans="1:16" ht="15">
      <c r="A84" s="88" t="s">
        <v>73</v>
      </c>
      <c r="B84" s="31" t="s">
        <v>273</v>
      </c>
      <c r="C84" s="33"/>
      <c r="D84" s="32"/>
      <c r="E84" s="32"/>
      <c r="F84" s="33"/>
      <c r="G84" s="32"/>
      <c r="H84" s="200"/>
      <c r="I84" s="30"/>
      <c r="J84" s="30"/>
      <c r="K84" s="28">
        <f>440+221</f>
        <v>661</v>
      </c>
      <c r="L84" s="28"/>
      <c r="M84" s="28">
        <v>1907</v>
      </c>
      <c r="N84" s="28">
        <v>1830</v>
      </c>
      <c r="O84" s="29"/>
      <c r="P84" s="22">
        <f t="shared" si="14"/>
        <v>4398</v>
      </c>
    </row>
    <row r="85" spans="1:16" ht="15">
      <c r="A85" s="85" t="s">
        <v>74</v>
      </c>
      <c r="B85" s="15" t="s">
        <v>75</v>
      </c>
      <c r="C85" s="17"/>
      <c r="D85" s="21"/>
      <c r="E85" s="21"/>
      <c r="F85" s="24"/>
      <c r="G85" s="21"/>
      <c r="H85" s="200"/>
      <c r="I85" s="30"/>
      <c r="J85" s="30"/>
      <c r="K85" s="28">
        <v>1241</v>
      </c>
      <c r="L85" s="28"/>
      <c r="M85" s="28"/>
      <c r="N85" s="28"/>
      <c r="O85" s="29"/>
      <c r="P85" s="22">
        <f t="shared" si="14"/>
        <v>1241</v>
      </c>
    </row>
    <row r="86" spans="1:16" ht="15">
      <c r="A86" s="85" t="s">
        <v>177</v>
      </c>
      <c r="B86" s="15" t="s">
        <v>178</v>
      </c>
      <c r="C86" s="17">
        <v>173692</v>
      </c>
      <c r="D86" s="24"/>
      <c r="E86" s="21"/>
      <c r="F86" s="24"/>
      <c r="G86" s="21"/>
      <c r="H86" s="200"/>
      <c r="I86" s="30"/>
      <c r="J86" s="30"/>
      <c r="K86" s="28">
        <f>30940+890</f>
        <v>31830</v>
      </c>
      <c r="L86" s="29"/>
      <c r="M86" s="29"/>
      <c r="N86" s="29"/>
      <c r="O86" s="29"/>
      <c r="P86" s="22">
        <f t="shared" si="14"/>
        <v>205522</v>
      </c>
    </row>
    <row r="87" spans="1:16" ht="15">
      <c r="A87" s="88" t="s">
        <v>76</v>
      </c>
      <c r="B87" s="31" t="s">
        <v>77</v>
      </c>
      <c r="C87" s="33">
        <f aca="true" t="shared" si="20" ref="C87:O87">SUM(C88:C93)</f>
        <v>2810725</v>
      </c>
      <c r="D87" s="33">
        <f t="shared" si="20"/>
        <v>179064</v>
      </c>
      <c r="E87" s="33">
        <f t="shared" si="20"/>
        <v>0</v>
      </c>
      <c r="F87" s="33">
        <f t="shared" si="20"/>
        <v>0</v>
      </c>
      <c r="G87" s="33">
        <f t="shared" si="20"/>
        <v>0</v>
      </c>
      <c r="H87" s="33">
        <f t="shared" si="20"/>
        <v>31768</v>
      </c>
      <c r="I87" s="33">
        <f t="shared" si="20"/>
        <v>16328</v>
      </c>
      <c r="J87" s="33">
        <f t="shared" si="20"/>
        <v>18243</v>
      </c>
      <c r="K87" s="33">
        <f t="shared" si="20"/>
        <v>25691</v>
      </c>
      <c r="L87" s="33">
        <f t="shared" si="20"/>
        <v>0</v>
      </c>
      <c r="M87" s="33">
        <f t="shared" si="20"/>
        <v>7892</v>
      </c>
      <c r="N87" s="33">
        <f t="shared" si="20"/>
        <v>0</v>
      </c>
      <c r="O87" s="33">
        <f t="shared" si="20"/>
        <v>0</v>
      </c>
      <c r="P87" s="22">
        <f t="shared" si="14"/>
        <v>3089711</v>
      </c>
    </row>
    <row r="88" spans="1:16" ht="15">
      <c r="A88" s="87" t="s">
        <v>274</v>
      </c>
      <c r="B88" s="20" t="s">
        <v>78</v>
      </c>
      <c r="C88" s="24">
        <f>652300+10425</f>
        <v>662725</v>
      </c>
      <c r="D88" s="21"/>
      <c r="E88" s="21"/>
      <c r="F88" s="24"/>
      <c r="G88" s="21"/>
      <c r="H88" s="26"/>
      <c r="I88" s="30"/>
      <c r="J88" s="27">
        <v>10300</v>
      </c>
      <c r="K88" s="28"/>
      <c r="L88" s="28"/>
      <c r="M88" s="28"/>
      <c r="N88" s="28"/>
      <c r="O88" s="29"/>
      <c r="P88" s="22">
        <f t="shared" si="14"/>
        <v>673025</v>
      </c>
    </row>
    <row r="89" spans="1:16" ht="29.25">
      <c r="A89" s="87" t="s">
        <v>275</v>
      </c>
      <c r="B89" s="106" t="s">
        <v>432</v>
      </c>
      <c r="C89" s="24">
        <v>960000</v>
      </c>
      <c r="D89" s="21"/>
      <c r="E89" s="21"/>
      <c r="F89" s="24"/>
      <c r="G89" s="21"/>
      <c r="H89" s="200"/>
      <c r="I89" s="30"/>
      <c r="J89" s="27"/>
      <c r="K89" s="28"/>
      <c r="L89" s="28"/>
      <c r="M89" s="28"/>
      <c r="N89" s="28"/>
      <c r="O89" s="29"/>
      <c r="P89" s="22">
        <f t="shared" si="14"/>
        <v>960000</v>
      </c>
    </row>
    <row r="90" spans="1:16" ht="29.25">
      <c r="A90" s="87" t="s">
        <v>276</v>
      </c>
      <c r="B90" s="106" t="s">
        <v>277</v>
      </c>
      <c r="C90" s="24">
        <v>1140000</v>
      </c>
      <c r="D90" s="21"/>
      <c r="E90" s="21"/>
      <c r="F90" s="24"/>
      <c r="G90" s="21"/>
      <c r="H90" s="200"/>
      <c r="I90" s="30"/>
      <c r="J90" s="30"/>
      <c r="K90" s="28"/>
      <c r="L90" s="28"/>
      <c r="M90" s="28"/>
      <c r="N90" s="28"/>
      <c r="O90" s="29"/>
      <c r="P90" s="22">
        <f t="shared" si="14"/>
        <v>1140000</v>
      </c>
    </row>
    <row r="91" spans="1:16" ht="15">
      <c r="A91" s="87" t="s">
        <v>278</v>
      </c>
      <c r="B91" s="106" t="s">
        <v>279</v>
      </c>
      <c r="C91" s="24"/>
      <c r="D91" s="21">
        <v>179064</v>
      </c>
      <c r="E91" s="21"/>
      <c r="F91" s="24"/>
      <c r="G91" s="21"/>
      <c r="H91" s="209">
        <v>31768</v>
      </c>
      <c r="I91" s="27">
        <v>16328</v>
      </c>
      <c r="J91" s="27">
        <v>7943</v>
      </c>
      <c r="K91" s="29">
        <v>25691</v>
      </c>
      <c r="L91" s="29"/>
      <c r="M91" s="29">
        <v>7892</v>
      </c>
      <c r="N91" s="29"/>
      <c r="O91" s="29"/>
      <c r="P91" s="22">
        <f t="shared" si="14"/>
        <v>268686</v>
      </c>
    </row>
    <row r="92" spans="1:16" ht="29.25">
      <c r="A92" s="87" t="s">
        <v>280</v>
      </c>
      <c r="B92" s="106" t="s">
        <v>281</v>
      </c>
      <c r="C92" s="24"/>
      <c r="D92" s="21"/>
      <c r="E92" s="21"/>
      <c r="F92" s="24"/>
      <c r="G92" s="21"/>
      <c r="H92" s="209"/>
      <c r="I92" s="30"/>
      <c r="J92" s="30"/>
      <c r="K92" s="29"/>
      <c r="L92" s="29"/>
      <c r="M92" s="29"/>
      <c r="N92" s="29"/>
      <c r="O92" s="29"/>
      <c r="P92" s="22">
        <f t="shared" si="14"/>
        <v>0</v>
      </c>
    </row>
    <row r="93" spans="1:16" ht="29.25">
      <c r="A93" s="87" t="s">
        <v>433</v>
      </c>
      <c r="B93" s="106" t="s">
        <v>434</v>
      </c>
      <c r="C93" s="24">
        <v>48000</v>
      </c>
      <c r="D93" s="21"/>
      <c r="E93" s="21"/>
      <c r="F93" s="24"/>
      <c r="G93" s="21"/>
      <c r="H93" s="209"/>
      <c r="I93" s="30"/>
      <c r="J93" s="30"/>
      <c r="K93" s="29"/>
      <c r="L93" s="29"/>
      <c r="M93" s="29"/>
      <c r="N93" s="29"/>
      <c r="O93" s="29"/>
      <c r="P93" s="22">
        <f t="shared" si="14"/>
        <v>48000</v>
      </c>
    </row>
    <row r="94" spans="1:16" ht="15">
      <c r="A94" s="88" t="s">
        <v>79</v>
      </c>
      <c r="B94" s="90" t="s">
        <v>80</v>
      </c>
      <c r="C94" s="33">
        <f>SUM(C95:C95)</f>
        <v>0</v>
      </c>
      <c r="D94" s="21"/>
      <c r="E94" s="21"/>
      <c r="F94" s="24"/>
      <c r="G94" s="21"/>
      <c r="H94" s="41">
        <f aca="true" t="shared" si="21" ref="H94:O94">SUM(H95:H95)</f>
        <v>0</v>
      </c>
      <c r="I94" s="32">
        <f t="shared" si="21"/>
        <v>0</v>
      </c>
      <c r="J94" s="32">
        <f t="shared" si="21"/>
        <v>0</v>
      </c>
      <c r="K94" s="33">
        <f t="shared" si="21"/>
        <v>0</v>
      </c>
      <c r="L94" s="33">
        <f t="shared" si="21"/>
        <v>0</v>
      </c>
      <c r="M94" s="33">
        <f t="shared" si="21"/>
        <v>0</v>
      </c>
      <c r="N94" s="33">
        <f t="shared" si="21"/>
        <v>0</v>
      </c>
      <c r="O94" s="33">
        <f t="shared" si="21"/>
        <v>0</v>
      </c>
      <c r="P94" s="22">
        <f aca="true" t="shared" si="22" ref="P94:P126">SUM(C94:O94)</f>
        <v>0</v>
      </c>
    </row>
    <row r="95" spans="1:16" ht="15">
      <c r="A95" s="87" t="s">
        <v>282</v>
      </c>
      <c r="B95" s="20"/>
      <c r="C95" s="24"/>
      <c r="D95" s="21"/>
      <c r="E95" s="21"/>
      <c r="F95" s="24"/>
      <c r="G95" s="21"/>
      <c r="H95" s="89"/>
      <c r="I95" s="30"/>
      <c r="J95" s="30"/>
      <c r="K95" s="28"/>
      <c r="L95" s="28"/>
      <c r="M95" s="28"/>
      <c r="N95" s="28"/>
      <c r="O95" s="29"/>
      <c r="P95" s="22">
        <f t="shared" si="22"/>
        <v>0</v>
      </c>
    </row>
    <row r="96" spans="1:16" ht="15">
      <c r="A96" s="88" t="s">
        <v>81</v>
      </c>
      <c r="B96" s="90" t="s">
        <v>82</v>
      </c>
      <c r="C96" s="33">
        <f>SUM(C97:C97)</f>
        <v>0</v>
      </c>
      <c r="D96" s="33">
        <f aca="true" t="shared" si="23" ref="D96:O96">SUM(D97:D97)</f>
        <v>0</v>
      </c>
      <c r="E96" s="33">
        <f t="shared" si="23"/>
        <v>0</v>
      </c>
      <c r="F96" s="33">
        <f t="shared" si="23"/>
        <v>0</v>
      </c>
      <c r="G96" s="32">
        <f t="shared" si="23"/>
        <v>253792</v>
      </c>
      <c r="H96" s="41">
        <f t="shared" si="23"/>
        <v>0</v>
      </c>
      <c r="I96" s="33">
        <f t="shared" si="23"/>
        <v>0</v>
      </c>
      <c r="J96" s="33">
        <f t="shared" si="23"/>
        <v>0</v>
      </c>
      <c r="K96" s="33">
        <f t="shared" si="23"/>
        <v>0</v>
      </c>
      <c r="L96" s="33">
        <f t="shared" si="23"/>
        <v>0</v>
      </c>
      <c r="M96" s="33">
        <f t="shared" si="23"/>
        <v>0</v>
      </c>
      <c r="N96" s="33">
        <f t="shared" si="23"/>
        <v>0</v>
      </c>
      <c r="O96" s="33">
        <f t="shared" si="23"/>
        <v>0</v>
      </c>
      <c r="P96" s="22">
        <f t="shared" si="22"/>
        <v>253792</v>
      </c>
    </row>
    <row r="97" spans="1:16" ht="28.5">
      <c r="A97" s="87" t="s">
        <v>283</v>
      </c>
      <c r="B97" s="38" t="s">
        <v>239</v>
      </c>
      <c r="C97" s="24"/>
      <c r="D97" s="21"/>
      <c r="E97" s="21"/>
      <c r="F97" s="24"/>
      <c r="G97" s="21">
        <v>253792</v>
      </c>
      <c r="H97" s="40"/>
      <c r="I97" s="21"/>
      <c r="J97" s="21"/>
      <c r="K97" s="24"/>
      <c r="L97" s="24"/>
      <c r="M97" s="24"/>
      <c r="N97" s="24"/>
      <c r="O97" s="24"/>
      <c r="P97" s="22">
        <f t="shared" si="22"/>
        <v>253792</v>
      </c>
    </row>
    <row r="98" spans="1:16" ht="15.75" thickBot="1">
      <c r="A98" s="244"/>
      <c r="B98" s="245"/>
      <c r="C98" s="45"/>
      <c r="D98" s="44"/>
      <c r="E98" s="44"/>
      <c r="F98" s="45"/>
      <c r="G98" s="44"/>
      <c r="H98" s="215"/>
      <c r="I98" s="46"/>
      <c r="J98" s="103"/>
      <c r="K98" s="47"/>
      <c r="L98" s="47"/>
      <c r="M98" s="97"/>
      <c r="N98" s="47"/>
      <c r="O98" s="48"/>
      <c r="P98" s="22">
        <f t="shared" si="22"/>
        <v>0</v>
      </c>
    </row>
    <row r="99" spans="1:16" ht="15.75" thickBot="1">
      <c r="A99" s="99" t="s">
        <v>18</v>
      </c>
      <c r="B99" s="108" t="s">
        <v>83</v>
      </c>
      <c r="C99" s="82">
        <f>C100+C107+C111+C115</f>
        <v>2145810</v>
      </c>
      <c r="D99" s="82">
        <f aca="true" t="shared" si="24" ref="D99:O99">D100+D107+D111+D115</f>
        <v>2329026</v>
      </c>
      <c r="E99" s="82">
        <f t="shared" si="24"/>
        <v>0</v>
      </c>
      <c r="F99" s="82">
        <f t="shared" si="24"/>
        <v>0</v>
      </c>
      <c r="G99" s="82">
        <f t="shared" si="24"/>
        <v>0</v>
      </c>
      <c r="H99" s="82">
        <f t="shared" si="24"/>
        <v>75601</v>
      </c>
      <c r="I99" s="82">
        <f t="shared" si="24"/>
        <v>0</v>
      </c>
      <c r="J99" s="82">
        <f t="shared" si="24"/>
        <v>7635</v>
      </c>
      <c r="K99" s="82">
        <f t="shared" si="24"/>
        <v>31329</v>
      </c>
      <c r="L99" s="82">
        <f t="shared" si="24"/>
        <v>0</v>
      </c>
      <c r="M99" s="82">
        <f t="shared" si="24"/>
        <v>11158</v>
      </c>
      <c r="N99" s="82">
        <f t="shared" si="24"/>
        <v>0</v>
      </c>
      <c r="O99" s="82">
        <f t="shared" si="24"/>
        <v>0</v>
      </c>
      <c r="P99" s="84">
        <f t="shared" si="22"/>
        <v>4600559</v>
      </c>
    </row>
    <row r="100" spans="1:16" ht="15">
      <c r="A100" s="85" t="s">
        <v>84</v>
      </c>
      <c r="B100" s="105" t="s">
        <v>85</v>
      </c>
      <c r="C100" s="17">
        <f>SUM(C101:C106)</f>
        <v>892845</v>
      </c>
      <c r="D100" s="17">
        <f>SUM(D101:D106)</f>
        <v>276867</v>
      </c>
      <c r="E100" s="16"/>
      <c r="F100" s="17"/>
      <c r="G100" s="16"/>
      <c r="H100" s="171">
        <f aca="true" t="shared" si="25" ref="H100:O100">SUM(H101:H106)</f>
        <v>16650</v>
      </c>
      <c r="I100" s="171">
        <f t="shared" si="25"/>
        <v>0</v>
      </c>
      <c r="J100" s="171">
        <f t="shared" si="25"/>
        <v>7635</v>
      </c>
      <c r="K100" s="171">
        <f t="shared" si="25"/>
        <v>16783</v>
      </c>
      <c r="L100" s="171">
        <f t="shared" si="25"/>
        <v>0</v>
      </c>
      <c r="M100" s="171">
        <f t="shared" si="25"/>
        <v>4300</v>
      </c>
      <c r="N100" s="246">
        <f t="shared" si="25"/>
        <v>0</v>
      </c>
      <c r="O100" s="171">
        <f t="shared" si="25"/>
        <v>0</v>
      </c>
      <c r="P100" s="163">
        <f t="shared" si="22"/>
        <v>1215080</v>
      </c>
    </row>
    <row r="101" spans="1:16" ht="29.25">
      <c r="A101" s="87" t="s">
        <v>284</v>
      </c>
      <c r="B101" s="20" t="s">
        <v>179</v>
      </c>
      <c r="C101" s="24">
        <v>55285</v>
      </c>
      <c r="D101" s="21">
        <v>276867</v>
      </c>
      <c r="E101" s="21"/>
      <c r="F101" s="24"/>
      <c r="G101" s="21"/>
      <c r="H101" s="26">
        <v>16650</v>
      </c>
      <c r="I101" s="30"/>
      <c r="J101" s="27">
        <v>7635</v>
      </c>
      <c r="K101" s="28">
        <v>16783</v>
      </c>
      <c r="L101" s="28"/>
      <c r="M101" s="28">
        <v>4300</v>
      </c>
      <c r="N101" s="28"/>
      <c r="O101" s="29"/>
      <c r="P101" s="22">
        <f t="shared" si="22"/>
        <v>377520</v>
      </c>
    </row>
    <row r="102" spans="1:16" ht="29.25">
      <c r="A102" s="87" t="s">
        <v>285</v>
      </c>
      <c r="B102" s="217" t="s">
        <v>286</v>
      </c>
      <c r="C102" s="24">
        <v>740307</v>
      </c>
      <c r="D102" s="24"/>
      <c r="E102" s="24"/>
      <c r="F102" s="24"/>
      <c r="G102" s="21"/>
      <c r="H102" s="125"/>
      <c r="I102" s="30"/>
      <c r="J102" s="30"/>
      <c r="K102" s="29"/>
      <c r="L102" s="29"/>
      <c r="M102" s="29"/>
      <c r="N102" s="29"/>
      <c r="O102" s="29"/>
      <c r="P102" s="22">
        <f t="shared" si="22"/>
        <v>740307</v>
      </c>
    </row>
    <row r="103" spans="1:16" ht="15">
      <c r="A103" s="87" t="s">
        <v>287</v>
      </c>
      <c r="B103" s="217" t="s">
        <v>288</v>
      </c>
      <c r="C103" s="24">
        <v>22879</v>
      </c>
      <c r="D103" s="24"/>
      <c r="E103" s="24"/>
      <c r="F103" s="24"/>
      <c r="G103" s="21"/>
      <c r="H103" s="125"/>
      <c r="I103" s="30"/>
      <c r="J103" s="30"/>
      <c r="K103" s="29"/>
      <c r="L103" s="29"/>
      <c r="M103" s="29"/>
      <c r="N103" s="29"/>
      <c r="O103" s="29"/>
      <c r="P103" s="22">
        <f t="shared" si="22"/>
        <v>22879</v>
      </c>
    </row>
    <row r="104" spans="1:16" ht="43.5">
      <c r="A104" s="87" t="s">
        <v>289</v>
      </c>
      <c r="B104" s="217" t="s">
        <v>290</v>
      </c>
      <c r="C104" s="24"/>
      <c r="D104" s="24"/>
      <c r="E104" s="24"/>
      <c r="F104" s="24"/>
      <c r="G104" s="21"/>
      <c r="H104" s="125"/>
      <c r="I104" s="30"/>
      <c r="J104" s="30"/>
      <c r="K104" s="29"/>
      <c r="L104" s="29"/>
      <c r="M104" s="29"/>
      <c r="N104" s="29"/>
      <c r="O104" s="29"/>
      <c r="P104" s="22">
        <f t="shared" si="22"/>
        <v>0</v>
      </c>
    </row>
    <row r="105" spans="1:16" ht="43.5">
      <c r="A105" s="87" t="s">
        <v>405</v>
      </c>
      <c r="B105" s="217" t="s">
        <v>404</v>
      </c>
      <c r="C105" s="24">
        <v>59321</v>
      </c>
      <c r="D105" s="24"/>
      <c r="E105" s="24"/>
      <c r="F105" s="24"/>
      <c r="G105" s="21"/>
      <c r="H105" s="125"/>
      <c r="I105" s="30"/>
      <c r="J105" s="30"/>
      <c r="K105" s="29"/>
      <c r="L105" s="29"/>
      <c r="M105" s="29"/>
      <c r="N105" s="29"/>
      <c r="O105" s="29"/>
      <c r="P105" s="22">
        <f t="shared" si="22"/>
        <v>59321</v>
      </c>
    </row>
    <row r="106" spans="1:16" ht="29.25">
      <c r="A106" s="87" t="s">
        <v>409</v>
      </c>
      <c r="B106" s="217" t="s">
        <v>408</v>
      </c>
      <c r="C106" s="24">
        <v>15053</v>
      </c>
      <c r="D106" s="24"/>
      <c r="E106" s="24"/>
      <c r="F106" s="24"/>
      <c r="G106" s="21"/>
      <c r="H106" s="125"/>
      <c r="I106" s="30"/>
      <c r="J106" s="30"/>
      <c r="K106" s="29"/>
      <c r="L106" s="29"/>
      <c r="M106" s="29"/>
      <c r="N106" s="29"/>
      <c r="O106" s="29"/>
      <c r="P106" s="22">
        <f t="shared" si="22"/>
        <v>15053</v>
      </c>
    </row>
    <row r="107" spans="1:16" ht="15">
      <c r="A107" s="88" t="s">
        <v>2</v>
      </c>
      <c r="B107" s="90" t="s">
        <v>86</v>
      </c>
      <c r="C107" s="33">
        <f>SUM(C108:C110)</f>
        <v>0</v>
      </c>
      <c r="D107" s="33">
        <f>SUM(D108:D110)</f>
        <v>2052159</v>
      </c>
      <c r="E107" s="33">
        <f>SUM(E108:E110)</f>
        <v>0</v>
      </c>
      <c r="F107" s="33">
        <f>SUM(F108:F110)</f>
        <v>0</v>
      </c>
      <c r="G107" s="32"/>
      <c r="H107" s="41">
        <f aca="true" t="shared" si="26" ref="H107:O107">SUM(H108:H110)</f>
        <v>58951</v>
      </c>
      <c r="I107" s="32">
        <f t="shared" si="26"/>
        <v>0</v>
      </c>
      <c r="J107" s="32">
        <f t="shared" si="26"/>
        <v>0</v>
      </c>
      <c r="K107" s="33">
        <f t="shared" si="26"/>
        <v>14546</v>
      </c>
      <c r="L107" s="33">
        <f t="shared" si="26"/>
        <v>0</v>
      </c>
      <c r="M107" s="33">
        <f t="shared" si="26"/>
        <v>6858</v>
      </c>
      <c r="N107" s="33">
        <f t="shared" si="26"/>
        <v>0</v>
      </c>
      <c r="O107" s="33">
        <f t="shared" si="26"/>
        <v>0</v>
      </c>
      <c r="P107" s="22">
        <f t="shared" si="22"/>
        <v>2132514</v>
      </c>
    </row>
    <row r="108" spans="1:16" ht="15">
      <c r="A108" s="87" t="s">
        <v>291</v>
      </c>
      <c r="B108" s="106" t="s">
        <v>144</v>
      </c>
      <c r="C108" s="24"/>
      <c r="D108" s="21">
        <v>25650</v>
      </c>
      <c r="E108" s="21"/>
      <c r="F108" s="24"/>
      <c r="G108" s="21"/>
      <c r="H108" s="200"/>
      <c r="I108" s="30"/>
      <c r="J108" s="30"/>
      <c r="K108" s="28"/>
      <c r="L108" s="28"/>
      <c r="M108" s="28"/>
      <c r="N108" s="28"/>
      <c r="O108" s="29"/>
      <c r="P108" s="22">
        <f t="shared" si="22"/>
        <v>25650</v>
      </c>
    </row>
    <row r="109" spans="1:16" ht="15">
      <c r="A109" s="109" t="s">
        <v>292</v>
      </c>
      <c r="B109" s="110" t="s">
        <v>87</v>
      </c>
      <c r="C109" s="45"/>
      <c r="D109" s="44">
        <v>2026509</v>
      </c>
      <c r="E109" s="44"/>
      <c r="F109" s="45"/>
      <c r="G109" s="44"/>
      <c r="H109" s="218">
        <v>58951</v>
      </c>
      <c r="I109" s="103"/>
      <c r="J109" s="103"/>
      <c r="K109" s="47">
        <v>14546</v>
      </c>
      <c r="L109" s="47"/>
      <c r="M109" s="47">
        <v>6858</v>
      </c>
      <c r="N109" s="47"/>
      <c r="O109" s="48"/>
      <c r="P109" s="22">
        <f t="shared" si="22"/>
        <v>2106864</v>
      </c>
    </row>
    <row r="110" spans="1:16" ht="29.25">
      <c r="A110" s="109" t="s">
        <v>293</v>
      </c>
      <c r="B110" s="106" t="s">
        <v>180</v>
      </c>
      <c r="C110" s="24"/>
      <c r="D110" s="21"/>
      <c r="E110" s="21"/>
      <c r="F110" s="24"/>
      <c r="G110" s="21"/>
      <c r="H110" s="200"/>
      <c r="I110" s="30"/>
      <c r="J110" s="30"/>
      <c r="K110" s="28"/>
      <c r="L110" s="28"/>
      <c r="M110" s="28"/>
      <c r="N110" s="28"/>
      <c r="O110" s="29"/>
      <c r="P110" s="22">
        <f t="shared" si="22"/>
        <v>0</v>
      </c>
    </row>
    <row r="111" spans="1:16" s="77" customFormat="1" ht="30">
      <c r="A111" s="88" t="s">
        <v>294</v>
      </c>
      <c r="B111" s="105" t="s">
        <v>295</v>
      </c>
      <c r="C111" s="17">
        <f aca="true" t="shared" si="27" ref="C111:O111">SUM(C112:C114)</f>
        <v>1249607</v>
      </c>
      <c r="D111" s="17">
        <f t="shared" si="27"/>
        <v>0</v>
      </c>
      <c r="E111" s="17">
        <f t="shared" si="27"/>
        <v>0</v>
      </c>
      <c r="F111" s="17">
        <f t="shared" si="27"/>
        <v>0</v>
      </c>
      <c r="G111" s="17">
        <f t="shared" si="27"/>
        <v>0</v>
      </c>
      <c r="H111" s="17">
        <f t="shared" si="27"/>
        <v>0</v>
      </c>
      <c r="I111" s="17">
        <f t="shared" si="27"/>
        <v>0</v>
      </c>
      <c r="J111" s="17">
        <f t="shared" si="27"/>
        <v>0</v>
      </c>
      <c r="K111" s="17">
        <f t="shared" si="27"/>
        <v>0</v>
      </c>
      <c r="L111" s="17">
        <f t="shared" si="27"/>
        <v>0</v>
      </c>
      <c r="M111" s="17">
        <f t="shared" si="27"/>
        <v>0</v>
      </c>
      <c r="N111" s="17">
        <f t="shared" si="27"/>
        <v>0</v>
      </c>
      <c r="O111" s="17">
        <f t="shared" si="27"/>
        <v>0</v>
      </c>
      <c r="P111" s="22">
        <f t="shared" si="22"/>
        <v>1249607</v>
      </c>
    </row>
    <row r="112" spans="1:16" ht="29.25">
      <c r="A112" s="87" t="s">
        <v>296</v>
      </c>
      <c r="B112" s="219" t="s">
        <v>182</v>
      </c>
      <c r="C112" s="86">
        <v>34094</v>
      </c>
      <c r="D112" s="86"/>
      <c r="E112" s="86"/>
      <c r="F112" s="86"/>
      <c r="G112" s="21"/>
      <c r="H112" s="220"/>
      <c r="I112" s="221"/>
      <c r="J112" s="221"/>
      <c r="K112" s="62"/>
      <c r="L112" s="62"/>
      <c r="M112" s="62"/>
      <c r="N112" s="62"/>
      <c r="O112" s="62"/>
      <c r="P112" s="22">
        <f t="shared" si="22"/>
        <v>34094</v>
      </c>
    </row>
    <row r="113" spans="1:16" ht="15">
      <c r="A113" s="87" t="s">
        <v>297</v>
      </c>
      <c r="B113" s="20" t="s">
        <v>183</v>
      </c>
      <c r="C113" s="86">
        <v>3000</v>
      </c>
      <c r="D113" s="86"/>
      <c r="E113" s="86"/>
      <c r="F113" s="86"/>
      <c r="G113" s="58"/>
      <c r="H113" s="220"/>
      <c r="I113" s="221"/>
      <c r="J113" s="221"/>
      <c r="K113" s="62"/>
      <c r="L113" s="62"/>
      <c r="M113" s="62"/>
      <c r="N113" s="62"/>
      <c r="O113" s="62"/>
      <c r="P113" s="22">
        <f t="shared" si="22"/>
        <v>3000</v>
      </c>
    </row>
    <row r="114" spans="1:16" ht="29.25">
      <c r="A114" s="87" t="s">
        <v>435</v>
      </c>
      <c r="B114" s="135" t="s">
        <v>436</v>
      </c>
      <c r="C114" s="24">
        <v>1212513</v>
      </c>
      <c r="D114" s="86"/>
      <c r="E114" s="86"/>
      <c r="F114" s="86"/>
      <c r="G114" s="58"/>
      <c r="H114" s="220"/>
      <c r="I114" s="221"/>
      <c r="J114" s="221"/>
      <c r="K114" s="62"/>
      <c r="L114" s="62"/>
      <c r="M114" s="62"/>
      <c r="N114" s="62"/>
      <c r="O114" s="62"/>
      <c r="P114" s="22">
        <f t="shared" si="22"/>
        <v>1212513</v>
      </c>
    </row>
    <row r="115" spans="1:16" s="77" customFormat="1" ht="30" customHeight="1">
      <c r="A115" s="85" t="s">
        <v>298</v>
      </c>
      <c r="B115" s="105" t="s">
        <v>299</v>
      </c>
      <c r="C115" s="33">
        <f>SUM(C116:C116)</f>
        <v>3358</v>
      </c>
      <c r="D115" s="33">
        <f aca="true" t="shared" si="28" ref="D115:O115">SUM(D116:D116)</f>
        <v>0</v>
      </c>
      <c r="E115" s="33">
        <f t="shared" si="28"/>
        <v>0</v>
      </c>
      <c r="F115" s="33">
        <f t="shared" si="28"/>
        <v>0</v>
      </c>
      <c r="G115" s="33">
        <f t="shared" si="28"/>
        <v>0</v>
      </c>
      <c r="H115" s="33">
        <f t="shared" si="28"/>
        <v>0</v>
      </c>
      <c r="I115" s="33">
        <f t="shared" si="28"/>
        <v>0</v>
      </c>
      <c r="J115" s="33">
        <f t="shared" si="28"/>
        <v>0</v>
      </c>
      <c r="K115" s="33">
        <f t="shared" si="28"/>
        <v>0</v>
      </c>
      <c r="L115" s="33">
        <f t="shared" si="28"/>
        <v>0</v>
      </c>
      <c r="M115" s="33">
        <f t="shared" si="28"/>
        <v>0</v>
      </c>
      <c r="N115" s="33">
        <f t="shared" si="28"/>
        <v>0</v>
      </c>
      <c r="O115" s="33">
        <f t="shared" si="28"/>
        <v>0</v>
      </c>
      <c r="P115" s="216">
        <f>SUM(C115:O115)</f>
        <v>3358</v>
      </c>
    </row>
    <row r="116" spans="1:16" ht="30" customHeight="1" thickBot="1">
      <c r="A116" s="266" t="s">
        <v>453</v>
      </c>
      <c r="B116" s="267" t="s">
        <v>452</v>
      </c>
      <c r="C116" s="188">
        <v>3358</v>
      </c>
      <c r="D116" s="188"/>
      <c r="E116" s="188"/>
      <c r="F116" s="188"/>
      <c r="G116" s="241"/>
      <c r="H116" s="268"/>
      <c r="I116" s="188"/>
      <c r="J116" s="188"/>
      <c r="K116" s="188"/>
      <c r="L116" s="188"/>
      <c r="M116" s="188"/>
      <c r="N116" s="188"/>
      <c r="O116" s="188"/>
      <c r="P116" s="269">
        <f>SUM(C116:O116)</f>
        <v>3358</v>
      </c>
    </row>
    <row r="117" spans="1:16" ht="30.75" thickBot="1">
      <c r="A117" s="99" t="s">
        <v>3</v>
      </c>
      <c r="B117" s="108" t="s">
        <v>88</v>
      </c>
      <c r="C117" s="82">
        <f>SUM(C118:C123)</f>
        <v>1007815</v>
      </c>
      <c r="D117" s="82">
        <f>SUM(D118:D123)</f>
        <v>8002211</v>
      </c>
      <c r="E117" s="82">
        <f>SUM(E118:E123)</f>
        <v>0</v>
      </c>
      <c r="F117" s="82">
        <f>SUM(F118:F123)</f>
        <v>0</v>
      </c>
      <c r="G117" s="83"/>
      <c r="H117" s="198">
        <f aca="true" t="shared" si="29" ref="H117:O117">SUM(H118:H123)</f>
        <v>184399</v>
      </c>
      <c r="I117" s="83">
        <f t="shared" si="29"/>
        <v>138258</v>
      </c>
      <c r="J117" s="83">
        <f t="shared" si="29"/>
        <v>99889</v>
      </c>
      <c r="K117" s="82">
        <f t="shared" si="29"/>
        <v>312091</v>
      </c>
      <c r="L117" s="82">
        <f t="shared" si="29"/>
        <v>7495</v>
      </c>
      <c r="M117" s="82">
        <f t="shared" si="29"/>
        <v>23218</v>
      </c>
      <c r="N117" s="82">
        <f t="shared" si="29"/>
        <v>243562</v>
      </c>
      <c r="O117" s="82">
        <f t="shared" si="29"/>
        <v>98774</v>
      </c>
      <c r="P117" s="84">
        <f t="shared" si="22"/>
        <v>10117712</v>
      </c>
    </row>
    <row r="118" spans="1:16" ht="15">
      <c r="A118" s="85" t="s">
        <v>407</v>
      </c>
      <c r="B118" s="105" t="s">
        <v>181</v>
      </c>
      <c r="C118" s="17"/>
      <c r="D118" s="16"/>
      <c r="E118" s="58"/>
      <c r="F118" s="86"/>
      <c r="G118" s="58"/>
      <c r="H118" s="205"/>
      <c r="J118" s="60"/>
      <c r="K118" s="61"/>
      <c r="L118" s="61"/>
      <c r="M118" s="61"/>
      <c r="N118" s="61"/>
      <c r="O118" s="62"/>
      <c r="P118" s="163">
        <f t="shared" si="22"/>
        <v>0</v>
      </c>
    </row>
    <row r="119" spans="1:16" ht="15">
      <c r="A119" s="88" t="s">
        <v>89</v>
      </c>
      <c r="B119" s="90" t="s">
        <v>300</v>
      </c>
      <c r="C119" s="24">
        <v>60220</v>
      </c>
      <c r="D119" s="32"/>
      <c r="E119" s="21"/>
      <c r="F119" s="24"/>
      <c r="G119" s="21"/>
      <c r="H119" s="200"/>
      <c r="I119" s="30"/>
      <c r="J119" s="30"/>
      <c r="K119" s="28"/>
      <c r="L119" s="28"/>
      <c r="M119" s="28"/>
      <c r="N119" s="28"/>
      <c r="O119" s="29"/>
      <c r="P119" s="22">
        <f t="shared" si="22"/>
        <v>60220</v>
      </c>
    </row>
    <row r="120" spans="1:16" ht="15">
      <c r="A120" s="88" t="s">
        <v>90</v>
      </c>
      <c r="B120" s="90" t="s">
        <v>91</v>
      </c>
      <c r="C120" s="24"/>
      <c r="D120" s="32">
        <v>94530</v>
      </c>
      <c r="E120" s="21"/>
      <c r="F120" s="24"/>
      <c r="G120" s="21"/>
      <c r="H120" s="26">
        <v>11135</v>
      </c>
      <c r="I120" s="30"/>
      <c r="J120" s="27">
        <v>5110</v>
      </c>
      <c r="K120" s="28">
        <v>21655</v>
      </c>
      <c r="L120" s="28"/>
      <c r="M120" s="28">
        <v>3800</v>
      </c>
      <c r="N120" s="28">
        <v>44026</v>
      </c>
      <c r="O120" s="29"/>
      <c r="P120" s="22">
        <f t="shared" si="22"/>
        <v>180256</v>
      </c>
    </row>
    <row r="121" spans="1:16" ht="30">
      <c r="A121" s="88" t="s">
        <v>301</v>
      </c>
      <c r="B121" s="90" t="s">
        <v>240</v>
      </c>
      <c r="C121" s="24"/>
      <c r="D121" s="32"/>
      <c r="E121" s="21"/>
      <c r="F121" s="24"/>
      <c r="G121" s="21"/>
      <c r="H121" s="26"/>
      <c r="I121" s="27">
        <v>12767</v>
      </c>
      <c r="J121" s="27"/>
      <c r="K121" s="28">
        <f>938+28316</f>
        <v>29254</v>
      </c>
      <c r="L121" s="28"/>
      <c r="M121" s="28"/>
      <c r="N121" s="28">
        <v>198736</v>
      </c>
      <c r="O121" s="29">
        <v>27200</v>
      </c>
      <c r="P121" s="22">
        <f t="shared" si="22"/>
        <v>267957</v>
      </c>
    </row>
    <row r="122" spans="1:16" ht="15">
      <c r="A122" s="88" t="s">
        <v>92</v>
      </c>
      <c r="B122" s="90" t="s">
        <v>93</v>
      </c>
      <c r="C122" s="33">
        <v>239478</v>
      </c>
      <c r="D122" s="32">
        <v>1500</v>
      </c>
      <c r="E122" s="21"/>
      <c r="F122" s="24"/>
      <c r="G122" s="21"/>
      <c r="H122" s="26">
        <v>3200</v>
      </c>
      <c r="I122" s="30"/>
      <c r="J122" s="30"/>
      <c r="K122" s="28">
        <v>2529</v>
      </c>
      <c r="L122" s="28"/>
      <c r="M122" s="28"/>
      <c r="N122" s="28">
        <v>800</v>
      </c>
      <c r="O122" s="29"/>
      <c r="P122" s="22">
        <f t="shared" si="22"/>
        <v>247507</v>
      </c>
    </row>
    <row r="123" spans="1:16" ht="45">
      <c r="A123" s="88" t="s">
        <v>94</v>
      </c>
      <c r="B123" s="90" t="s">
        <v>95</v>
      </c>
      <c r="C123" s="33">
        <f>SUM(C124:C134)</f>
        <v>708117</v>
      </c>
      <c r="D123" s="33">
        <f aca="true" t="shared" si="30" ref="D123:O123">SUM(D124:D134)</f>
        <v>7906181</v>
      </c>
      <c r="E123" s="33">
        <f t="shared" si="30"/>
        <v>0</v>
      </c>
      <c r="F123" s="33">
        <f t="shared" si="30"/>
        <v>0</v>
      </c>
      <c r="G123" s="33">
        <f t="shared" si="30"/>
        <v>0</v>
      </c>
      <c r="H123" s="33">
        <f t="shared" si="30"/>
        <v>170064</v>
      </c>
      <c r="I123" s="33">
        <f t="shared" si="30"/>
        <v>125491</v>
      </c>
      <c r="J123" s="33">
        <f t="shared" si="30"/>
        <v>94779</v>
      </c>
      <c r="K123" s="33">
        <f t="shared" si="30"/>
        <v>258653</v>
      </c>
      <c r="L123" s="33">
        <f t="shared" si="30"/>
        <v>7495</v>
      </c>
      <c r="M123" s="33">
        <f t="shared" si="30"/>
        <v>19418</v>
      </c>
      <c r="N123" s="33">
        <f t="shared" si="30"/>
        <v>0</v>
      </c>
      <c r="O123" s="33">
        <f t="shared" si="30"/>
        <v>71574</v>
      </c>
      <c r="P123" s="22">
        <f t="shared" si="22"/>
        <v>9361772</v>
      </c>
    </row>
    <row r="124" spans="1:16" ht="15">
      <c r="A124" s="87" t="s">
        <v>302</v>
      </c>
      <c r="B124" s="106" t="s">
        <v>437</v>
      </c>
      <c r="C124" s="24"/>
      <c r="D124" s="21">
        <f>3298063+33288-4110</f>
        <v>3327241</v>
      </c>
      <c r="E124" s="21"/>
      <c r="F124" s="24"/>
      <c r="G124" s="21"/>
      <c r="H124" s="196">
        <v>8600</v>
      </c>
      <c r="I124" s="59">
        <f>104171+7300</f>
        <v>111471</v>
      </c>
      <c r="J124" s="27">
        <v>5750</v>
      </c>
      <c r="K124" s="28"/>
      <c r="L124" s="28">
        <v>6049</v>
      </c>
      <c r="M124" s="28"/>
      <c r="N124" s="28"/>
      <c r="O124" s="28">
        <v>71574</v>
      </c>
      <c r="P124" s="22">
        <f t="shared" si="22"/>
        <v>3530685</v>
      </c>
    </row>
    <row r="125" spans="1:16" ht="15">
      <c r="A125" s="87" t="s">
        <v>303</v>
      </c>
      <c r="B125" s="106" t="s">
        <v>438</v>
      </c>
      <c r="C125" s="24"/>
      <c r="D125" s="21">
        <v>4578940</v>
      </c>
      <c r="E125" s="21"/>
      <c r="F125" s="24"/>
      <c r="G125" s="21"/>
      <c r="H125" s="196">
        <f>124523+15187</f>
        <v>139710</v>
      </c>
      <c r="I125" s="30"/>
      <c r="J125" s="27">
        <v>63255</v>
      </c>
      <c r="K125" s="28">
        <f>179422+12900</f>
        <v>192322</v>
      </c>
      <c r="L125" s="28"/>
      <c r="M125" s="28"/>
      <c r="N125" s="28"/>
      <c r="O125" s="29"/>
      <c r="P125" s="22">
        <f t="shared" si="22"/>
        <v>4974227</v>
      </c>
    </row>
    <row r="126" spans="1:16" ht="15">
      <c r="A126" s="87" t="s">
        <v>304</v>
      </c>
      <c r="B126" s="106" t="s">
        <v>439</v>
      </c>
      <c r="C126" s="24">
        <v>221423</v>
      </c>
      <c r="D126" s="21"/>
      <c r="E126" s="21"/>
      <c r="F126" s="24"/>
      <c r="G126" s="21"/>
      <c r="H126" s="26">
        <v>4477</v>
      </c>
      <c r="I126" s="30"/>
      <c r="J126" s="30"/>
      <c r="K126" s="28">
        <f>13946+1067</f>
        <v>15013</v>
      </c>
      <c r="L126" s="28">
        <v>1446</v>
      </c>
      <c r="M126" s="28"/>
      <c r="N126" s="28"/>
      <c r="O126" s="29"/>
      <c r="P126" s="22">
        <f t="shared" si="22"/>
        <v>242359</v>
      </c>
    </row>
    <row r="127" spans="1:16" ht="29.25">
      <c r="A127" s="87" t="s">
        <v>305</v>
      </c>
      <c r="B127" s="106" t="s">
        <v>306</v>
      </c>
      <c r="C127" s="86"/>
      <c r="D127" s="21"/>
      <c r="E127" s="21"/>
      <c r="F127" s="24"/>
      <c r="G127" s="21"/>
      <c r="H127" s="200"/>
      <c r="I127" s="30"/>
      <c r="J127" s="30"/>
      <c r="K127" s="28"/>
      <c r="L127" s="28"/>
      <c r="M127" s="28"/>
      <c r="N127" s="28"/>
      <c r="O127" s="29"/>
      <c r="P127" s="22">
        <f aca="true" t="shared" si="31" ref="P127:P159">SUM(C127:O127)</f>
        <v>0</v>
      </c>
    </row>
    <row r="128" spans="1:16" ht="15">
      <c r="A128" s="87" t="s">
        <v>307</v>
      </c>
      <c r="B128" s="106" t="s">
        <v>440</v>
      </c>
      <c r="C128" s="86"/>
      <c r="D128" s="21"/>
      <c r="E128" s="21"/>
      <c r="F128" s="24"/>
      <c r="G128" s="21"/>
      <c r="H128" s="200"/>
      <c r="I128" s="30"/>
      <c r="J128" s="30"/>
      <c r="K128" s="28"/>
      <c r="L128" s="28"/>
      <c r="M128" s="28"/>
      <c r="N128" s="28"/>
      <c r="O128" s="29"/>
      <c r="P128" s="22">
        <f t="shared" si="31"/>
        <v>0</v>
      </c>
    </row>
    <row r="129" spans="1:16" ht="15">
      <c r="A129" s="87" t="s">
        <v>308</v>
      </c>
      <c r="B129" s="106" t="s">
        <v>441</v>
      </c>
      <c r="C129" s="86">
        <v>30000</v>
      </c>
      <c r="D129" s="21"/>
      <c r="E129" s="21"/>
      <c r="F129" s="24"/>
      <c r="G129" s="21"/>
      <c r="H129" s="200"/>
      <c r="I129" s="30"/>
      <c r="J129" s="30"/>
      <c r="K129" s="28"/>
      <c r="L129" s="28"/>
      <c r="M129" s="28"/>
      <c r="N129" s="28"/>
      <c r="O129" s="29"/>
      <c r="P129" s="22">
        <f t="shared" si="31"/>
        <v>30000</v>
      </c>
    </row>
    <row r="130" spans="1:16" ht="43.5">
      <c r="A130" s="87" t="s">
        <v>309</v>
      </c>
      <c r="B130" s="111" t="s">
        <v>442</v>
      </c>
      <c r="C130" s="86">
        <v>25000</v>
      </c>
      <c r="D130" s="21"/>
      <c r="E130" s="21"/>
      <c r="F130" s="24"/>
      <c r="G130" s="21"/>
      <c r="H130" s="26">
        <v>3500</v>
      </c>
      <c r="I130" s="30"/>
      <c r="J130" s="27">
        <v>1000</v>
      </c>
      <c r="K130" s="28">
        <f>1600+979</f>
        <v>2579</v>
      </c>
      <c r="L130" s="28"/>
      <c r="M130" s="28"/>
      <c r="N130" s="28"/>
      <c r="O130" s="29"/>
      <c r="P130" s="22">
        <f t="shared" si="31"/>
        <v>32079</v>
      </c>
    </row>
    <row r="131" spans="1:16" ht="15">
      <c r="A131" s="87" t="s">
        <v>310</v>
      </c>
      <c r="B131" s="112" t="s">
        <v>184</v>
      </c>
      <c r="C131" s="24">
        <v>29800</v>
      </c>
      <c r="D131" s="24"/>
      <c r="E131" s="24"/>
      <c r="F131" s="24"/>
      <c r="G131" s="21"/>
      <c r="H131" s="26">
        <f>15077-1300</f>
        <v>13777</v>
      </c>
      <c r="I131" s="30"/>
      <c r="J131" s="27">
        <f>22570+2204</f>
        <v>24774</v>
      </c>
      <c r="K131" s="28">
        <v>48739</v>
      </c>
      <c r="L131" s="28"/>
      <c r="M131" s="28"/>
      <c r="N131" s="28"/>
      <c r="O131" s="29"/>
      <c r="P131" s="22">
        <f t="shared" si="31"/>
        <v>117090</v>
      </c>
    </row>
    <row r="132" spans="1:16" ht="15">
      <c r="A132" s="87" t="s">
        <v>311</v>
      </c>
      <c r="B132" s="106" t="s">
        <v>145</v>
      </c>
      <c r="C132" s="21">
        <v>4000</v>
      </c>
      <c r="D132" s="21"/>
      <c r="E132" s="263"/>
      <c r="F132" s="21"/>
      <c r="G132" s="21"/>
      <c r="H132" s="200"/>
      <c r="I132" s="30"/>
      <c r="J132" s="30"/>
      <c r="K132" s="28"/>
      <c r="L132" s="28"/>
      <c r="M132" s="28"/>
      <c r="N132" s="28"/>
      <c r="O132" s="29"/>
      <c r="P132" s="22">
        <f t="shared" si="31"/>
        <v>4000</v>
      </c>
    </row>
    <row r="133" spans="1:16" ht="15">
      <c r="A133" s="87" t="s">
        <v>312</v>
      </c>
      <c r="B133" s="262" t="s">
        <v>313</v>
      </c>
      <c r="C133" s="24"/>
      <c r="D133" s="24"/>
      <c r="E133" s="24"/>
      <c r="F133" s="24"/>
      <c r="G133" s="21"/>
      <c r="H133" s="225"/>
      <c r="I133" s="27">
        <v>14020</v>
      </c>
      <c r="J133" s="30"/>
      <c r="K133" s="226"/>
      <c r="L133" s="29"/>
      <c r="M133" s="28">
        <v>19418</v>
      </c>
      <c r="N133" s="29"/>
      <c r="O133" s="29"/>
      <c r="P133" s="22">
        <f t="shared" si="31"/>
        <v>33438</v>
      </c>
    </row>
    <row r="134" spans="1:16" ht="44.25" thickBot="1">
      <c r="A134" s="117" t="s">
        <v>455</v>
      </c>
      <c r="B134" s="113" t="s">
        <v>457</v>
      </c>
      <c r="C134" s="114">
        <v>397894</v>
      </c>
      <c r="D134" s="114"/>
      <c r="E134" s="114"/>
      <c r="F134" s="114"/>
      <c r="G134" s="241"/>
      <c r="H134" s="222"/>
      <c r="I134" s="259"/>
      <c r="J134" s="260"/>
      <c r="K134" s="261"/>
      <c r="L134" s="115"/>
      <c r="M134" s="115"/>
      <c r="N134" s="115"/>
      <c r="O134" s="115"/>
      <c r="P134" s="22">
        <f t="shared" si="31"/>
        <v>397894</v>
      </c>
    </row>
    <row r="135" spans="1:16" ht="15.75" thickBot="1">
      <c r="A135" s="99" t="s">
        <v>4</v>
      </c>
      <c r="B135" s="81" t="s">
        <v>96</v>
      </c>
      <c r="C135" s="82">
        <f aca="true" t="shared" si="32" ref="C135:O135">SUM(C136,C140)</f>
        <v>700</v>
      </c>
      <c r="D135" s="82">
        <f t="shared" si="32"/>
        <v>0</v>
      </c>
      <c r="E135" s="82">
        <f t="shared" si="32"/>
        <v>0</v>
      </c>
      <c r="F135" s="82">
        <f t="shared" si="32"/>
        <v>370164</v>
      </c>
      <c r="G135" s="82">
        <f t="shared" si="32"/>
        <v>0</v>
      </c>
      <c r="H135" s="82">
        <f t="shared" si="32"/>
        <v>1900</v>
      </c>
      <c r="I135" s="82">
        <f t="shared" si="32"/>
        <v>0</v>
      </c>
      <c r="J135" s="82">
        <f t="shared" si="32"/>
        <v>0</v>
      </c>
      <c r="K135" s="82">
        <f t="shared" si="32"/>
        <v>0</v>
      </c>
      <c r="L135" s="82">
        <f t="shared" si="32"/>
        <v>1500</v>
      </c>
      <c r="M135" s="82">
        <f t="shared" si="32"/>
        <v>13801</v>
      </c>
      <c r="N135" s="82">
        <f t="shared" si="32"/>
        <v>1420</v>
      </c>
      <c r="O135" s="82">
        <f t="shared" si="32"/>
        <v>9688</v>
      </c>
      <c r="P135" s="84">
        <f t="shared" si="31"/>
        <v>399173</v>
      </c>
    </row>
    <row r="136" spans="1:16" s="77" customFormat="1" ht="15">
      <c r="A136" s="85" t="s">
        <v>97</v>
      </c>
      <c r="B136" s="15" t="s">
        <v>98</v>
      </c>
      <c r="C136" s="17">
        <f aca="true" t="shared" si="33" ref="C136:O136">SUM(C137:C139)</f>
        <v>700</v>
      </c>
      <c r="D136" s="17">
        <f t="shared" si="33"/>
        <v>0</v>
      </c>
      <c r="E136" s="17">
        <f t="shared" si="33"/>
        <v>0</v>
      </c>
      <c r="F136" s="17">
        <f t="shared" si="33"/>
        <v>370164</v>
      </c>
      <c r="G136" s="17">
        <f t="shared" si="33"/>
        <v>0</v>
      </c>
      <c r="H136" s="17">
        <f t="shared" si="33"/>
        <v>1900</v>
      </c>
      <c r="I136" s="17">
        <f t="shared" si="33"/>
        <v>0</v>
      </c>
      <c r="J136" s="17">
        <f t="shared" si="33"/>
        <v>0</v>
      </c>
      <c r="K136" s="17">
        <f t="shared" si="33"/>
        <v>0</v>
      </c>
      <c r="L136" s="17">
        <f t="shared" si="33"/>
        <v>1500</v>
      </c>
      <c r="M136" s="17">
        <f t="shared" si="33"/>
        <v>13801</v>
      </c>
      <c r="N136" s="17">
        <f t="shared" si="33"/>
        <v>1420</v>
      </c>
      <c r="O136" s="17">
        <f t="shared" si="33"/>
        <v>9688</v>
      </c>
      <c r="P136" s="223">
        <f t="shared" si="31"/>
        <v>399173</v>
      </c>
    </row>
    <row r="137" spans="1:16" ht="15">
      <c r="A137" s="87" t="s">
        <v>314</v>
      </c>
      <c r="B137" s="20" t="s">
        <v>99</v>
      </c>
      <c r="C137" s="24"/>
      <c r="D137" s="21"/>
      <c r="E137" s="21"/>
      <c r="F137" s="24">
        <v>240314</v>
      </c>
      <c r="G137" s="21"/>
      <c r="H137" s="200"/>
      <c r="I137" s="30"/>
      <c r="J137" s="30"/>
      <c r="K137" s="28"/>
      <c r="L137" s="28"/>
      <c r="M137" s="28"/>
      <c r="N137" s="28"/>
      <c r="O137" s="29"/>
      <c r="P137" s="22">
        <f t="shared" si="31"/>
        <v>240314</v>
      </c>
    </row>
    <row r="138" spans="1:16" ht="15">
      <c r="A138" s="87" t="s">
        <v>314</v>
      </c>
      <c r="B138" s="20" t="s">
        <v>100</v>
      </c>
      <c r="C138" s="24"/>
      <c r="D138" s="21"/>
      <c r="E138" s="21"/>
      <c r="F138" s="24">
        <v>129850</v>
      </c>
      <c r="G138" s="21"/>
      <c r="H138" s="200"/>
      <c r="I138" s="30"/>
      <c r="J138" s="30"/>
      <c r="K138" s="28"/>
      <c r="L138" s="28"/>
      <c r="M138" s="28"/>
      <c r="N138" s="28"/>
      <c r="O138" s="29"/>
      <c r="P138" s="22">
        <f t="shared" si="31"/>
        <v>129850</v>
      </c>
    </row>
    <row r="139" spans="1:16" ht="15">
      <c r="A139" s="87" t="s">
        <v>315</v>
      </c>
      <c r="B139" s="20" t="s">
        <v>185</v>
      </c>
      <c r="C139" s="24">
        <v>700</v>
      </c>
      <c r="D139" s="21"/>
      <c r="E139" s="21"/>
      <c r="F139" s="24"/>
      <c r="G139" s="21"/>
      <c r="H139" s="26">
        <v>1900</v>
      </c>
      <c r="I139" s="30"/>
      <c r="J139" s="30"/>
      <c r="K139" s="28"/>
      <c r="L139" s="28">
        <v>1500</v>
      </c>
      <c r="M139" s="28">
        <v>13801</v>
      </c>
      <c r="N139" s="28">
        <v>1420</v>
      </c>
      <c r="O139" s="29">
        <v>9688</v>
      </c>
      <c r="P139" s="22">
        <f t="shared" si="31"/>
        <v>29009</v>
      </c>
    </row>
    <row r="140" spans="1:16" s="121" customFormat="1" ht="15.75" thickBot="1">
      <c r="A140" s="119"/>
      <c r="B140" s="120"/>
      <c r="C140" s="114"/>
      <c r="D140" s="114"/>
      <c r="E140" s="114"/>
      <c r="F140" s="114"/>
      <c r="G140" s="192"/>
      <c r="H140" s="222"/>
      <c r="I140" s="140"/>
      <c r="J140" s="140"/>
      <c r="K140" s="115"/>
      <c r="L140" s="115"/>
      <c r="M140" s="115"/>
      <c r="N140" s="115"/>
      <c r="O140" s="115"/>
      <c r="P140" s="22">
        <f t="shared" si="31"/>
        <v>0</v>
      </c>
    </row>
    <row r="141" spans="1:16" ht="15.75" thickBot="1">
      <c r="A141" s="99" t="s">
        <v>6</v>
      </c>
      <c r="B141" s="81" t="s">
        <v>101</v>
      </c>
      <c r="C141" s="82">
        <f aca="true" t="shared" si="34" ref="C141:O141">C142+C145+C162+C163</f>
        <v>701216</v>
      </c>
      <c r="D141" s="82">
        <f t="shared" si="34"/>
        <v>0</v>
      </c>
      <c r="E141" s="82">
        <f t="shared" si="34"/>
        <v>670496</v>
      </c>
      <c r="F141" s="82">
        <f t="shared" si="34"/>
        <v>0</v>
      </c>
      <c r="G141" s="82">
        <f t="shared" si="34"/>
        <v>0</v>
      </c>
      <c r="H141" s="82">
        <f t="shared" si="34"/>
        <v>141286</v>
      </c>
      <c r="I141" s="82">
        <f t="shared" si="34"/>
        <v>39759</v>
      </c>
      <c r="J141" s="82">
        <f t="shared" si="34"/>
        <v>45179</v>
      </c>
      <c r="K141" s="82">
        <f t="shared" si="34"/>
        <v>80423</v>
      </c>
      <c r="L141" s="82">
        <f t="shared" si="34"/>
        <v>18403</v>
      </c>
      <c r="M141" s="82">
        <f t="shared" si="34"/>
        <v>40682</v>
      </c>
      <c r="N141" s="82">
        <f t="shared" si="34"/>
        <v>34452</v>
      </c>
      <c r="O141" s="82">
        <f t="shared" si="34"/>
        <v>52585</v>
      </c>
      <c r="P141" s="84">
        <f t="shared" si="31"/>
        <v>1824481</v>
      </c>
    </row>
    <row r="142" spans="1:16" ht="15">
      <c r="A142" s="85" t="s">
        <v>102</v>
      </c>
      <c r="B142" s="15" t="s">
        <v>103</v>
      </c>
      <c r="C142" s="17">
        <f>SUM(C143:C144)</f>
        <v>140950</v>
      </c>
      <c r="D142" s="58"/>
      <c r="E142" s="58"/>
      <c r="F142" s="86"/>
      <c r="G142" s="58"/>
      <c r="H142" s="171">
        <f aca="true" t="shared" si="35" ref="H142:O142">SUM(H143:H144)</f>
        <v>4664</v>
      </c>
      <c r="I142" s="16">
        <f t="shared" si="35"/>
        <v>1640</v>
      </c>
      <c r="J142" s="16">
        <f t="shared" si="35"/>
        <v>1000</v>
      </c>
      <c r="K142" s="17">
        <f t="shared" si="35"/>
        <v>2754</v>
      </c>
      <c r="L142" s="17">
        <f t="shared" si="35"/>
        <v>0</v>
      </c>
      <c r="M142" s="17">
        <f t="shared" si="35"/>
        <v>0</v>
      </c>
      <c r="N142" s="17">
        <f t="shared" si="35"/>
        <v>1300</v>
      </c>
      <c r="O142" s="17">
        <f t="shared" si="35"/>
        <v>0</v>
      </c>
      <c r="P142" s="163">
        <f t="shared" si="31"/>
        <v>152308</v>
      </c>
    </row>
    <row r="143" spans="1:16" ht="15">
      <c r="A143" s="87" t="s">
        <v>316</v>
      </c>
      <c r="B143" s="20" t="s">
        <v>104</v>
      </c>
      <c r="C143" s="24">
        <v>34000</v>
      </c>
      <c r="D143" s="21"/>
      <c r="E143" s="21"/>
      <c r="F143" s="24"/>
      <c r="G143" s="21"/>
      <c r="H143" s="26">
        <v>4664</v>
      </c>
      <c r="I143" s="27">
        <v>1640</v>
      </c>
      <c r="J143" s="27">
        <v>1000</v>
      </c>
      <c r="K143" s="28">
        <v>2754</v>
      </c>
      <c r="L143" s="28"/>
      <c r="M143" s="28"/>
      <c r="N143" s="28">
        <v>1300</v>
      </c>
      <c r="O143" s="29"/>
      <c r="P143" s="22">
        <f t="shared" si="31"/>
        <v>45358</v>
      </c>
    </row>
    <row r="144" spans="1:16" ht="29.25">
      <c r="A144" s="87" t="s">
        <v>317</v>
      </c>
      <c r="B144" s="20" t="s">
        <v>105</v>
      </c>
      <c r="C144" s="39">
        <v>106950</v>
      </c>
      <c r="D144" s="21"/>
      <c r="E144" s="21"/>
      <c r="F144" s="24"/>
      <c r="G144" s="21"/>
      <c r="H144" s="200"/>
      <c r="I144" s="30"/>
      <c r="J144" s="30"/>
      <c r="K144" s="28"/>
      <c r="L144" s="28"/>
      <c r="M144" s="28"/>
      <c r="N144" s="28"/>
      <c r="O144" s="29"/>
      <c r="P144" s="22">
        <f t="shared" si="31"/>
        <v>106950</v>
      </c>
    </row>
    <row r="145" spans="1:16" ht="15">
      <c r="A145" s="88" t="s">
        <v>106</v>
      </c>
      <c r="B145" s="90" t="s">
        <v>5</v>
      </c>
      <c r="C145" s="33">
        <f aca="true" t="shared" si="36" ref="C145:O145">SUM(C146:C152)</f>
        <v>479747</v>
      </c>
      <c r="D145" s="33">
        <f t="shared" si="36"/>
        <v>0</v>
      </c>
      <c r="E145" s="33">
        <f t="shared" si="36"/>
        <v>670496</v>
      </c>
      <c r="F145" s="33">
        <f t="shared" si="36"/>
        <v>0</v>
      </c>
      <c r="G145" s="33">
        <f t="shared" si="36"/>
        <v>0</v>
      </c>
      <c r="H145" s="33">
        <f t="shared" si="36"/>
        <v>136622</v>
      </c>
      <c r="I145" s="33">
        <f t="shared" si="36"/>
        <v>38119</v>
      </c>
      <c r="J145" s="33">
        <f t="shared" si="36"/>
        <v>42351</v>
      </c>
      <c r="K145" s="33">
        <f t="shared" si="36"/>
        <v>76230</v>
      </c>
      <c r="L145" s="33">
        <f t="shared" si="36"/>
        <v>18403</v>
      </c>
      <c r="M145" s="33">
        <f t="shared" si="36"/>
        <v>40682</v>
      </c>
      <c r="N145" s="33">
        <f t="shared" si="36"/>
        <v>33152</v>
      </c>
      <c r="O145" s="33">
        <f t="shared" si="36"/>
        <v>52585</v>
      </c>
      <c r="P145" s="22">
        <f t="shared" si="31"/>
        <v>1588387</v>
      </c>
    </row>
    <row r="146" spans="1:16" ht="15">
      <c r="A146" s="87" t="s">
        <v>107</v>
      </c>
      <c r="B146" s="20" t="s">
        <v>186</v>
      </c>
      <c r="C146" s="24">
        <v>239819</v>
      </c>
      <c r="D146" s="21"/>
      <c r="E146" s="21"/>
      <c r="F146" s="24"/>
      <c r="G146" s="21"/>
      <c r="H146" s="196">
        <v>19288</v>
      </c>
      <c r="I146" s="27">
        <v>13161</v>
      </c>
      <c r="J146" s="27">
        <v>7936</v>
      </c>
      <c r="K146" s="28">
        <v>16997</v>
      </c>
      <c r="L146" s="179">
        <v>8104</v>
      </c>
      <c r="M146" s="28">
        <v>9690</v>
      </c>
      <c r="N146" s="174">
        <v>10468</v>
      </c>
      <c r="O146" s="29">
        <v>11833</v>
      </c>
      <c r="P146" s="22">
        <f t="shared" si="31"/>
        <v>337296</v>
      </c>
    </row>
    <row r="147" spans="1:16" ht="15">
      <c r="A147" s="87" t="s">
        <v>108</v>
      </c>
      <c r="B147" s="20" t="s">
        <v>146</v>
      </c>
      <c r="C147" s="24"/>
      <c r="D147" s="21"/>
      <c r="E147" s="21"/>
      <c r="F147" s="24"/>
      <c r="G147" s="21"/>
      <c r="H147" s="200"/>
      <c r="I147" s="30"/>
      <c r="J147" s="27"/>
      <c r="K147" s="28"/>
      <c r="L147" s="28"/>
      <c r="M147" s="28"/>
      <c r="N147" s="28">
        <v>400</v>
      </c>
      <c r="O147" s="29"/>
      <c r="P147" s="22">
        <f t="shared" si="31"/>
        <v>400</v>
      </c>
    </row>
    <row r="148" spans="1:16" ht="15">
      <c r="A148" s="87" t="s">
        <v>318</v>
      </c>
      <c r="B148" s="20" t="s">
        <v>147</v>
      </c>
      <c r="C148" s="39">
        <v>3628</v>
      </c>
      <c r="D148" s="21"/>
      <c r="E148" s="21"/>
      <c r="F148" s="24"/>
      <c r="G148" s="21"/>
      <c r="H148" s="200"/>
      <c r="I148" s="30"/>
      <c r="J148" s="27"/>
      <c r="K148" s="28"/>
      <c r="L148" s="28"/>
      <c r="M148" s="28"/>
      <c r="N148" s="28"/>
      <c r="O148" s="29"/>
      <c r="P148" s="22">
        <f t="shared" si="31"/>
        <v>3628</v>
      </c>
    </row>
    <row r="149" spans="1:16" ht="15">
      <c r="A149" s="87" t="s">
        <v>319</v>
      </c>
      <c r="B149" s="20" t="s">
        <v>443</v>
      </c>
      <c r="C149" s="39">
        <v>95263</v>
      </c>
      <c r="D149" s="21"/>
      <c r="E149" s="21"/>
      <c r="F149" s="24"/>
      <c r="G149" s="21"/>
      <c r="H149" s="200"/>
      <c r="I149" s="30"/>
      <c r="J149" s="27"/>
      <c r="K149" s="28"/>
      <c r="L149" s="28"/>
      <c r="M149" s="28"/>
      <c r="N149" s="28"/>
      <c r="O149" s="29"/>
      <c r="P149" s="22">
        <f t="shared" si="31"/>
        <v>95263</v>
      </c>
    </row>
    <row r="150" spans="1:16" ht="15">
      <c r="A150" s="87" t="s">
        <v>109</v>
      </c>
      <c r="B150" s="20" t="s">
        <v>320</v>
      </c>
      <c r="C150" s="24"/>
      <c r="D150" s="21"/>
      <c r="E150" s="35">
        <v>90548</v>
      </c>
      <c r="F150" s="24"/>
      <c r="G150" s="35"/>
      <c r="H150" s="196">
        <f>117119+215</f>
        <v>117334</v>
      </c>
      <c r="I150" s="27">
        <f>24944+14</f>
        <v>24958</v>
      </c>
      <c r="J150" s="27">
        <f>34401+14</f>
        <v>34415</v>
      </c>
      <c r="K150" s="28">
        <f>58858+228+147</f>
        <v>59233</v>
      </c>
      <c r="L150" s="28">
        <v>10299</v>
      </c>
      <c r="M150" s="28">
        <v>30992</v>
      </c>
      <c r="N150" s="174">
        <f>22278+6</f>
        <v>22284</v>
      </c>
      <c r="O150" s="28">
        <f>36046+6</f>
        <v>36052</v>
      </c>
      <c r="P150" s="22">
        <f t="shared" si="31"/>
        <v>426115</v>
      </c>
    </row>
    <row r="151" spans="1:16" ht="29.25">
      <c r="A151" s="87" t="s">
        <v>109</v>
      </c>
      <c r="B151" s="20" t="s">
        <v>148</v>
      </c>
      <c r="C151" s="24"/>
      <c r="D151" s="21"/>
      <c r="E151" s="35">
        <v>579948</v>
      </c>
      <c r="F151" s="24"/>
      <c r="G151" s="35"/>
      <c r="H151" s="200"/>
      <c r="I151" s="30"/>
      <c r="J151" s="30"/>
      <c r="K151" s="28"/>
      <c r="L151" s="28"/>
      <c r="M151" s="28"/>
      <c r="N151" s="28"/>
      <c r="O151" s="29"/>
      <c r="P151" s="22">
        <f t="shared" si="31"/>
        <v>579948</v>
      </c>
    </row>
    <row r="152" spans="1:16" s="77" customFormat="1" ht="15">
      <c r="A152" s="88" t="s">
        <v>110</v>
      </c>
      <c r="B152" s="31" t="s">
        <v>321</v>
      </c>
      <c r="C152" s="224">
        <f aca="true" t="shared" si="37" ref="C152:O152">SUM(C153:C161)</f>
        <v>141037</v>
      </c>
      <c r="D152" s="224">
        <f t="shared" si="37"/>
        <v>0</v>
      </c>
      <c r="E152" s="224">
        <f t="shared" si="37"/>
        <v>0</v>
      </c>
      <c r="F152" s="224">
        <f t="shared" si="37"/>
        <v>0</v>
      </c>
      <c r="G152" s="224">
        <f t="shared" si="37"/>
        <v>0</v>
      </c>
      <c r="H152" s="224">
        <f t="shared" si="37"/>
        <v>0</v>
      </c>
      <c r="I152" s="224">
        <f t="shared" si="37"/>
        <v>0</v>
      </c>
      <c r="J152" s="224">
        <f t="shared" si="37"/>
        <v>0</v>
      </c>
      <c r="K152" s="224">
        <f t="shared" si="37"/>
        <v>0</v>
      </c>
      <c r="L152" s="224">
        <f t="shared" si="37"/>
        <v>0</v>
      </c>
      <c r="M152" s="224">
        <f t="shared" si="37"/>
        <v>0</v>
      </c>
      <c r="N152" s="224">
        <f t="shared" si="37"/>
        <v>0</v>
      </c>
      <c r="O152" s="224">
        <f t="shared" si="37"/>
        <v>4700</v>
      </c>
      <c r="P152" s="22">
        <f t="shared" si="31"/>
        <v>145737</v>
      </c>
    </row>
    <row r="153" spans="1:16" ht="15">
      <c r="A153" s="87" t="s">
        <v>322</v>
      </c>
      <c r="B153" s="106" t="s">
        <v>149</v>
      </c>
      <c r="C153" s="24">
        <v>58128</v>
      </c>
      <c r="D153" s="21"/>
      <c r="E153" s="21"/>
      <c r="F153" s="24"/>
      <c r="G153" s="21"/>
      <c r="H153" s="26"/>
      <c r="I153" s="30"/>
      <c r="J153" s="27"/>
      <c r="K153" s="28"/>
      <c r="L153" s="28"/>
      <c r="M153" s="28"/>
      <c r="N153" s="28"/>
      <c r="O153" s="29">
        <v>4700</v>
      </c>
      <c r="P153" s="22">
        <f t="shared" si="31"/>
        <v>62828</v>
      </c>
    </row>
    <row r="154" spans="1:16" ht="15">
      <c r="A154" s="87" t="s">
        <v>323</v>
      </c>
      <c r="B154" s="106" t="s">
        <v>150</v>
      </c>
      <c r="C154" s="24">
        <v>12850</v>
      </c>
      <c r="D154" s="21"/>
      <c r="E154" s="21"/>
      <c r="F154" s="24"/>
      <c r="G154" s="21"/>
      <c r="H154" s="200"/>
      <c r="I154" s="30"/>
      <c r="J154" s="30"/>
      <c r="K154" s="28"/>
      <c r="L154" s="28"/>
      <c r="M154" s="28"/>
      <c r="N154" s="28"/>
      <c r="O154" s="29"/>
      <c r="P154" s="22">
        <f t="shared" si="31"/>
        <v>12850</v>
      </c>
    </row>
    <row r="155" spans="1:16" ht="15">
      <c r="A155" s="87" t="s">
        <v>324</v>
      </c>
      <c r="B155" s="112" t="s">
        <v>151</v>
      </c>
      <c r="C155" s="24">
        <v>300</v>
      </c>
      <c r="D155" s="21"/>
      <c r="E155" s="21"/>
      <c r="F155" s="24"/>
      <c r="G155" s="21"/>
      <c r="H155" s="200"/>
      <c r="I155" s="30"/>
      <c r="J155" s="30"/>
      <c r="K155" s="28"/>
      <c r="L155" s="28"/>
      <c r="M155" s="28"/>
      <c r="N155" s="28"/>
      <c r="O155" s="29"/>
      <c r="P155" s="22">
        <f t="shared" si="31"/>
        <v>300</v>
      </c>
    </row>
    <row r="156" spans="1:16" ht="15">
      <c r="A156" s="87" t="s">
        <v>325</v>
      </c>
      <c r="B156" s="112" t="s">
        <v>229</v>
      </c>
      <c r="C156" s="24">
        <v>61531</v>
      </c>
      <c r="D156" s="21"/>
      <c r="E156" s="21"/>
      <c r="F156" s="24"/>
      <c r="G156" s="21"/>
      <c r="H156" s="200"/>
      <c r="I156" s="30"/>
      <c r="J156" s="30"/>
      <c r="K156" s="28"/>
      <c r="L156" s="28"/>
      <c r="M156" s="28"/>
      <c r="N156" s="28"/>
      <c r="O156" s="29"/>
      <c r="P156" s="22">
        <f t="shared" si="31"/>
        <v>61531</v>
      </c>
    </row>
    <row r="157" spans="1:16" ht="15">
      <c r="A157" s="87" t="s">
        <v>326</v>
      </c>
      <c r="B157" s="107" t="s">
        <v>444</v>
      </c>
      <c r="C157" s="24"/>
      <c r="D157" s="21"/>
      <c r="E157" s="21"/>
      <c r="F157" s="24"/>
      <c r="G157" s="21"/>
      <c r="H157" s="200"/>
      <c r="I157" s="30"/>
      <c r="J157" s="30"/>
      <c r="K157" s="28"/>
      <c r="L157" s="28"/>
      <c r="M157" s="28"/>
      <c r="N157" s="28"/>
      <c r="O157" s="29"/>
      <c r="P157" s="22">
        <f t="shared" si="31"/>
        <v>0</v>
      </c>
    </row>
    <row r="158" spans="1:16" ht="29.25">
      <c r="A158" s="87" t="s">
        <v>327</v>
      </c>
      <c r="B158" s="107" t="s">
        <v>328</v>
      </c>
      <c r="C158" s="24"/>
      <c r="D158" s="21"/>
      <c r="E158" s="21"/>
      <c r="F158" s="24"/>
      <c r="G158" s="21"/>
      <c r="H158" s="200"/>
      <c r="I158" s="30"/>
      <c r="J158" s="30"/>
      <c r="K158" s="28"/>
      <c r="L158" s="28"/>
      <c r="M158" s="28"/>
      <c r="N158" s="28"/>
      <c r="O158" s="29"/>
      <c r="P158" s="22">
        <f t="shared" si="31"/>
        <v>0</v>
      </c>
    </row>
    <row r="159" spans="1:16" ht="29.25">
      <c r="A159" s="87" t="s">
        <v>329</v>
      </c>
      <c r="B159" s="107" t="s">
        <v>330</v>
      </c>
      <c r="C159" s="24"/>
      <c r="D159" s="21"/>
      <c r="E159" s="21"/>
      <c r="F159" s="24"/>
      <c r="G159" s="21"/>
      <c r="H159" s="200"/>
      <c r="I159" s="30"/>
      <c r="J159" s="30"/>
      <c r="K159" s="28"/>
      <c r="L159" s="28"/>
      <c r="M159" s="28"/>
      <c r="N159" s="28"/>
      <c r="O159" s="29"/>
      <c r="P159" s="22">
        <f t="shared" si="31"/>
        <v>0</v>
      </c>
    </row>
    <row r="160" spans="1:16" ht="29.25">
      <c r="A160" s="87" t="s">
        <v>406</v>
      </c>
      <c r="B160" s="107" t="s">
        <v>410</v>
      </c>
      <c r="C160" s="24">
        <v>8228</v>
      </c>
      <c r="D160" s="21"/>
      <c r="E160" s="21"/>
      <c r="F160" s="24"/>
      <c r="G160" s="21"/>
      <c r="H160" s="200"/>
      <c r="I160" s="30"/>
      <c r="J160" s="30"/>
      <c r="K160" s="28"/>
      <c r="L160" s="28"/>
      <c r="M160" s="28"/>
      <c r="N160" s="28"/>
      <c r="O160" s="29"/>
      <c r="P160" s="22">
        <f aca="true" t="shared" si="38" ref="P160:P191">SUM(C160:O160)</f>
        <v>8228</v>
      </c>
    </row>
    <row r="161" spans="1:16" ht="15">
      <c r="A161" s="87" t="s">
        <v>445</v>
      </c>
      <c r="B161" s="107" t="s">
        <v>446</v>
      </c>
      <c r="C161" s="24"/>
      <c r="D161" s="21"/>
      <c r="E161" s="21"/>
      <c r="F161" s="24"/>
      <c r="G161" s="21"/>
      <c r="H161" s="26"/>
      <c r="I161" s="30"/>
      <c r="J161" s="30"/>
      <c r="K161" s="28"/>
      <c r="L161" s="28"/>
      <c r="M161" s="28"/>
      <c r="N161" s="28"/>
      <c r="O161" s="29"/>
      <c r="P161" s="22">
        <f t="shared" si="38"/>
        <v>0</v>
      </c>
    </row>
    <row r="162" spans="1:16" ht="15">
      <c r="A162" s="88" t="s">
        <v>331</v>
      </c>
      <c r="B162" s="31" t="s">
        <v>111</v>
      </c>
      <c r="C162" s="122">
        <v>31499</v>
      </c>
      <c r="D162" s="32"/>
      <c r="E162" s="32"/>
      <c r="F162" s="33"/>
      <c r="G162" s="32"/>
      <c r="H162" s="200"/>
      <c r="I162" s="30"/>
      <c r="J162" s="30"/>
      <c r="K162" s="28"/>
      <c r="L162" s="28"/>
      <c r="M162" s="28"/>
      <c r="N162" s="28"/>
      <c r="O162" s="29"/>
      <c r="P162" s="22">
        <f t="shared" si="38"/>
        <v>31499</v>
      </c>
    </row>
    <row r="163" spans="1:16" ht="30.75" thickBot="1">
      <c r="A163" s="88" t="s">
        <v>112</v>
      </c>
      <c r="B163" s="31" t="s">
        <v>113</v>
      </c>
      <c r="C163" s="33">
        <v>49020</v>
      </c>
      <c r="D163" s="32"/>
      <c r="E163" s="32"/>
      <c r="F163" s="33"/>
      <c r="G163" s="32"/>
      <c r="H163" s="200"/>
      <c r="I163" s="30"/>
      <c r="J163" s="27">
        <v>1828</v>
      </c>
      <c r="K163" s="28">
        <v>1439</v>
      </c>
      <c r="L163" s="28"/>
      <c r="M163" s="28"/>
      <c r="N163" s="28"/>
      <c r="O163" s="29"/>
      <c r="P163" s="22">
        <f t="shared" si="38"/>
        <v>52287</v>
      </c>
    </row>
    <row r="164" spans="1:16" ht="15.75" thickBot="1">
      <c r="A164" s="123" t="s">
        <v>114</v>
      </c>
      <c r="B164" s="108" t="s">
        <v>0</v>
      </c>
      <c r="C164" s="83">
        <f aca="true" t="shared" si="39" ref="C164:O164">C165+C176+C177+C188+C195+C198+C199+C200</f>
        <v>7102024</v>
      </c>
      <c r="D164" s="83">
        <f t="shared" si="39"/>
        <v>0</v>
      </c>
      <c r="E164" s="83">
        <f t="shared" si="39"/>
        <v>0</v>
      </c>
      <c r="F164" s="83">
        <f t="shared" si="39"/>
        <v>0</v>
      </c>
      <c r="G164" s="83">
        <f t="shared" si="39"/>
        <v>0</v>
      </c>
      <c r="H164" s="83">
        <f t="shared" si="39"/>
        <v>718770</v>
      </c>
      <c r="I164" s="83">
        <f t="shared" si="39"/>
        <v>78419</v>
      </c>
      <c r="J164" s="83">
        <f t="shared" si="39"/>
        <v>232048</v>
      </c>
      <c r="K164" s="83">
        <f t="shared" si="39"/>
        <v>586815</v>
      </c>
      <c r="L164" s="83">
        <f t="shared" si="39"/>
        <v>76640</v>
      </c>
      <c r="M164" s="83">
        <f t="shared" si="39"/>
        <v>57043</v>
      </c>
      <c r="N164" s="83">
        <f t="shared" si="39"/>
        <v>36969</v>
      </c>
      <c r="O164" s="83">
        <f t="shared" si="39"/>
        <v>193500</v>
      </c>
      <c r="P164" s="84">
        <f t="shared" si="38"/>
        <v>9082228</v>
      </c>
    </row>
    <row r="165" spans="1:16" ht="15">
      <c r="A165" s="85" t="s">
        <v>115</v>
      </c>
      <c r="B165" s="15" t="s">
        <v>332</v>
      </c>
      <c r="C165" s="17">
        <f>SUM(C166:C175)</f>
        <v>2405013</v>
      </c>
      <c r="D165" s="17">
        <f>SUM(D166:D175)</f>
        <v>0</v>
      </c>
      <c r="E165" s="17">
        <f>SUM(E166:E175)</f>
        <v>0</v>
      </c>
      <c r="F165" s="17">
        <f>SUM(F166:F175)</f>
        <v>0</v>
      </c>
      <c r="G165" s="16"/>
      <c r="H165" s="171">
        <f aca="true" t="shared" si="40" ref="H165:O165">SUM(H166:H175)</f>
        <v>0</v>
      </c>
      <c r="I165" s="16">
        <f t="shared" si="40"/>
        <v>0</v>
      </c>
      <c r="J165" s="16">
        <f t="shared" si="40"/>
        <v>79609</v>
      </c>
      <c r="K165" s="17">
        <f t="shared" si="40"/>
        <v>166515</v>
      </c>
      <c r="L165" s="17">
        <f t="shared" si="40"/>
        <v>0</v>
      </c>
      <c r="M165" s="17">
        <f t="shared" si="40"/>
        <v>0</v>
      </c>
      <c r="N165" s="17">
        <f t="shared" si="40"/>
        <v>0</v>
      </c>
      <c r="O165" s="17">
        <f t="shared" si="40"/>
        <v>0</v>
      </c>
      <c r="P165" s="163">
        <f t="shared" si="38"/>
        <v>2651137</v>
      </c>
    </row>
    <row r="166" spans="1:16" ht="15">
      <c r="A166" s="87" t="s">
        <v>333</v>
      </c>
      <c r="B166" s="124" t="s">
        <v>116</v>
      </c>
      <c r="C166" s="21">
        <v>190927</v>
      </c>
      <c r="D166" s="21"/>
      <c r="E166" s="21"/>
      <c r="F166" s="24"/>
      <c r="G166" s="21"/>
      <c r="H166" s="200"/>
      <c r="I166" s="30"/>
      <c r="J166" s="30"/>
      <c r="K166" s="28"/>
      <c r="L166" s="28"/>
      <c r="M166" s="28"/>
      <c r="N166" s="28"/>
      <c r="O166" s="29"/>
      <c r="P166" s="22">
        <f t="shared" si="38"/>
        <v>190927</v>
      </c>
    </row>
    <row r="167" spans="1:16" ht="15">
      <c r="A167" s="87" t="s">
        <v>334</v>
      </c>
      <c r="B167" s="124" t="s">
        <v>117</v>
      </c>
      <c r="C167" s="24">
        <v>333009</v>
      </c>
      <c r="D167" s="21"/>
      <c r="E167" s="21"/>
      <c r="F167" s="24"/>
      <c r="G167" s="21"/>
      <c r="H167" s="200"/>
      <c r="I167" s="30"/>
      <c r="J167" s="30"/>
      <c r="K167" s="28"/>
      <c r="L167" s="28"/>
      <c r="M167" s="28"/>
      <c r="N167" s="28"/>
      <c r="O167" s="29"/>
      <c r="P167" s="22">
        <f t="shared" si="38"/>
        <v>333009</v>
      </c>
    </row>
    <row r="168" spans="1:16" ht="15">
      <c r="A168" s="87" t="s">
        <v>335</v>
      </c>
      <c r="B168" s="124" t="s">
        <v>118</v>
      </c>
      <c r="C168" s="24">
        <v>331430</v>
      </c>
      <c r="D168" s="21"/>
      <c r="E168" s="21"/>
      <c r="F168" s="24"/>
      <c r="G168" s="21"/>
      <c r="H168" s="200"/>
      <c r="I168" s="30"/>
      <c r="J168" s="30"/>
      <c r="K168" s="28"/>
      <c r="L168" s="28"/>
      <c r="M168" s="28"/>
      <c r="N168" s="28"/>
      <c r="O168" s="29"/>
      <c r="P168" s="22">
        <f t="shared" si="38"/>
        <v>331430</v>
      </c>
    </row>
    <row r="169" spans="1:16" ht="15">
      <c r="A169" s="87" t="s">
        <v>336</v>
      </c>
      <c r="B169" s="124" t="s">
        <v>119</v>
      </c>
      <c r="C169" s="24">
        <f>371793+4421</f>
        <v>376214</v>
      </c>
      <c r="D169" s="21"/>
      <c r="E169" s="21"/>
      <c r="F169" s="24"/>
      <c r="G169" s="21"/>
      <c r="H169" s="200"/>
      <c r="I169" s="30"/>
      <c r="J169" s="30"/>
      <c r="K169" s="28"/>
      <c r="L169" s="28"/>
      <c r="M169" s="28"/>
      <c r="N169" s="28"/>
      <c r="O169" s="29"/>
      <c r="P169" s="22">
        <f t="shared" si="38"/>
        <v>376214</v>
      </c>
    </row>
    <row r="170" spans="1:16" ht="15">
      <c r="A170" s="87" t="s">
        <v>337</v>
      </c>
      <c r="B170" s="124" t="s">
        <v>120</v>
      </c>
      <c r="C170" s="24">
        <v>391804</v>
      </c>
      <c r="D170" s="21"/>
      <c r="E170" s="21"/>
      <c r="F170" s="24"/>
      <c r="G170" s="21"/>
      <c r="H170" s="200"/>
      <c r="I170" s="30"/>
      <c r="J170" s="27">
        <v>79609</v>
      </c>
      <c r="K170" s="28"/>
      <c r="L170" s="28"/>
      <c r="M170" s="28"/>
      <c r="N170" s="28"/>
      <c r="O170" s="29"/>
      <c r="P170" s="22">
        <f t="shared" si="38"/>
        <v>471413</v>
      </c>
    </row>
    <row r="171" spans="1:16" ht="15">
      <c r="A171" s="87" t="s">
        <v>338</v>
      </c>
      <c r="B171" s="124" t="s">
        <v>121</v>
      </c>
      <c r="C171" s="24">
        <v>216157</v>
      </c>
      <c r="D171" s="21"/>
      <c r="E171" s="21"/>
      <c r="F171" s="24"/>
      <c r="G171" s="21"/>
      <c r="H171" s="200"/>
      <c r="I171" s="30"/>
      <c r="J171" s="30"/>
      <c r="K171" s="28"/>
      <c r="L171" s="28"/>
      <c r="M171" s="28"/>
      <c r="N171" s="28"/>
      <c r="O171" s="29"/>
      <c r="P171" s="22">
        <f t="shared" si="38"/>
        <v>216157</v>
      </c>
    </row>
    <row r="172" spans="1:16" ht="15">
      <c r="A172" s="87" t="s">
        <v>339</v>
      </c>
      <c r="B172" s="124" t="s">
        <v>152</v>
      </c>
      <c r="C172" s="24">
        <v>318096</v>
      </c>
      <c r="D172" s="21"/>
      <c r="E172" s="21"/>
      <c r="F172" s="24"/>
      <c r="G172" s="21"/>
      <c r="H172" s="200"/>
      <c r="I172" s="30"/>
      <c r="J172" s="30"/>
      <c r="K172" s="28"/>
      <c r="L172" s="28"/>
      <c r="M172" s="28"/>
      <c r="N172" s="28"/>
      <c r="O172" s="29"/>
      <c r="P172" s="22">
        <f t="shared" si="38"/>
        <v>318096</v>
      </c>
    </row>
    <row r="173" spans="1:16" ht="15">
      <c r="A173" s="87" t="s">
        <v>340</v>
      </c>
      <c r="B173" s="124" t="s">
        <v>187</v>
      </c>
      <c r="C173" s="24">
        <v>226376</v>
      </c>
      <c r="D173" s="24"/>
      <c r="E173" s="24"/>
      <c r="F173" s="24"/>
      <c r="G173" s="21"/>
      <c r="H173" s="225"/>
      <c r="I173" s="30"/>
      <c r="J173" s="27"/>
      <c r="K173" s="29"/>
      <c r="L173" s="29"/>
      <c r="M173" s="29"/>
      <c r="N173" s="29"/>
      <c r="O173" s="29"/>
      <c r="P173" s="22">
        <f t="shared" si="38"/>
        <v>226376</v>
      </c>
    </row>
    <row r="174" spans="1:16" ht="15">
      <c r="A174" s="87" t="s">
        <v>341</v>
      </c>
      <c r="B174" s="124" t="s">
        <v>188</v>
      </c>
      <c r="C174" s="24"/>
      <c r="D174" s="24"/>
      <c r="E174" s="24"/>
      <c r="F174" s="24"/>
      <c r="G174" s="21"/>
      <c r="H174" s="225"/>
      <c r="I174" s="30"/>
      <c r="J174" s="30"/>
      <c r="K174" s="226">
        <f>165789+726</f>
        <v>166515</v>
      </c>
      <c r="L174" s="29"/>
      <c r="M174" s="29"/>
      <c r="N174" s="29"/>
      <c r="O174" s="29"/>
      <c r="P174" s="22">
        <f t="shared" si="38"/>
        <v>166515</v>
      </c>
    </row>
    <row r="175" spans="1:16" ht="29.25">
      <c r="A175" s="87" t="s">
        <v>342</v>
      </c>
      <c r="B175" s="124" t="s">
        <v>343</v>
      </c>
      <c r="C175" s="24">
        <v>21000</v>
      </c>
      <c r="D175" s="24"/>
      <c r="E175" s="24"/>
      <c r="F175" s="24"/>
      <c r="G175" s="21"/>
      <c r="H175" s="225"/>
      <c r="I175" s="30"/>
      <c r="J175" s="30"/>
      <c r="K175" s="29"/>
      <c r="L175" s="29"/>
      <c r="M175" s="29"/>
      <c r="N175" s="29"/>
      <c r="O175" s="179"/>
      <c r="P175" s="22">
        <f t="shared" si="38"/>
        <v>21000</v>
      </c>
    </row>
    <row r="176" spans="1:16" ht="15">
      <c r="A176" s="88" t="s">
        <v>122</v>
      </c>
      <c r="B176" s="227" t="s">
        <v>344</v>
      </c>
      <c r="C176" s="24">
        <v>444786</v>
      </c>
      <c r="D176" s="24"/>
      <c r="E176" s="24"/>
      <c r="F176" s="24"/>
      <c r="G176" s="21"/>
      <c r="H176" s="228"/>
      <c r="I176" s="190"/>
      <c r="J176" s="190"/>
      <c r="K176" s="29"/>
      <c r="L176" s="29"/>
      <c r="M176" s="29"/>
      <c r="N176" s="29"/>
      <c r="O176" s="29"/>
      <c r="P176" s="22">
        <f t="shared" si="38"/>
        <v>444786</v>
      </c>
    </row>
    <row r="177" spans="1:16" ht="30">
      <c r="A177" s="88" t="s">
        <v>191</v>
      </c>
      <c r="B177" s="31" t="s">
        <v>345</v>
      </c>
      <c r="C177" s="33">
        <f aca="true" t="shared" si="41" ref="C177:O177">SUM(C178:C187)</f>
        <v>2601792</v>
      </c>
      <c r="D177" s="33">
        <f t="shared" si="41"/>
        <v>0</v>
      </c>
      <c r="E177" s="33">
        <f t="shared" si="41"/>
        <v>0</v>
      </c>
      <c r="F177" s="33">
        <f t="shared" si="41"/>
        <v>0</v>
      </c>
      <c r="G177" s="32">
        <f t="shared" si="41"/>
        <v>0</v>
      </c>
      <c r="H177" s="41">
        <f t="shared" si="41"/>
        <v>709595</v>
      </c>
      <c r="I177" s="33">
        <f t="shared" si="41"/>
        <v>78419</v>
      </c>
      <c r="J177" s="33">
        <f t="shared" si="41"/>
        <v>142005</v>
      </c>
      <c r="K177" s="33">
        <f t="shared" si="41"/>
        <v>276984</v>
      </c>
      <c r="L177" s="33">
        <f t="shared" si="41"/>
        <v>62562</v>
      </c>
      <c r="M177" s="33">
        <f t="shared" si="41"/>
        <v>48385</v>
      </c>
      <c r="N177" s="33">
        <f t="shared" si="41"/>
        <v>29686</v>
      </c>
      <c r="O177" s="33">
        <f t="shared" si="41"/>
        <v>183663</v>
      </c>
      <c r="P177" s="22">
        <f t="shared" si="38"/>
        <v>4133091</v>
      </c>
    </row>
    <row r="178" spans="1:16" ht="15">
      <c r="A178" s="87" t="s">
        <v>346</v>
      </c>
      <c r="B178" s="124" t="s">
        <v>123</v>
      </c>
      <c r="C178" s="24">
        <f>1036585+200</f>
        <v>1036785</v>
      </c>
      <c r="D178" s="21"/>
      <c r="E178" s="21"/>
      <c r="F178" s="24"/>
      <c r="G178" s="21"/>
      <c r="H178" s="200"/>
      <c r="I178" s="30"/>
      <c r="J178" s="30"/>
      <c r="K178" s="28"/>
      <c r="L178" s="28"/>
      <c r="M178" s="28"/>
      <c r="N178" s="28"/>
      <c r="O178" s="29"/>
      <c r="P178" s="22">
        <f t="shared" si="38"/>
        <v>1036785</v>
      </c>
    </row>
    <row r="179" spans="1:16" ht="15">
      <c r="A179" s="87" t="s">
        <v>347</v>
      </c>
      <c r="B179" s="124" t="s">
        <v>348</v>
      </c>
      <c r="C179" s="24">
        <v>722175</v>
      </c>
      <c r="D179" s="21"/>
      <c r="E179" s="21"/>
      <c r="F179" s="24"/>
      <c r="G179" s="21"/>
      <c r="H179" s="200"/>
      <c r="I179" s="30"/>
      <c r="J179" s="30"/>
      <c r="K179" s="28"/>
      <c r="L179" s="28"/>
      <c r="M179" s="28"/>
      <c r="N179" s="28"/>
      <c r="O179" s="29"/>
      <c r="P179" s="22">
        <f t="shared" si="38"/>
        <v>722175</v>
      </c>
    </row>
    <row r="180" spans="1:16" ht="15">
      <c r="A180" s="87" t="s">
        <v>349</v>
      </c>
      <c r="B180" s="124" t="s">
        <v>124</v>
      </c>
      <c r="C180" s="24">
        <v>621078</v>
      </c>
      <c r="D180" s="21"/>
      <c r="E180" s="21"/>
      <c r="F180" s="24"/>
      <c r="G180" s="21"/>
      <c r="H180" s="200"/>
      <c r="I180" s="30"/>
      <c r="J180" s="30"/>
      <c r="K180" s="28"/>
      <c r="L180" s="28"/>
      <c r="M180" s="28"/>
      <c r="N180" s="28"/>
      <c r="O180" s="29"/>
      <c r="P180" s="22">
        <f t="shared" si="38"/>
        <v>621078</v>
      </c>
    </row>
    <row r="181" spans="1:16" ht="15">
      <c r="A181" s="87" t="s">
        <v>350</v>
      </c>
      <c r="B181" s="20" t="s">
        <v>125</v>
      </c>
      <c r="C181" s="24">
        <v>221754</v>
      </c>
      <c r="D181" s="21"/>
      <c r="E181" s="21"/>
      <c r="F181" s="24"/>
      <c r="G181" s="21"/>
      <c r="H181" s="200"/>
      <c r="I181" s="30"/>
      <c r="J181" s="30"/>
      <c r="K181" s="28"/>
      <c r="L181" s="28"/>
      <c r="M181" s="28"/>
      <c r="N181" s="28"/>
      <c r="O181" s="29"/>
      <c r="P181" s="22">
        <f t="shared" si="38"/>
        <v>221754</v>
      </c>
    </row>
    <row r="182" spans="1:16" ht="15">
      <c r="A182" s="87" t="s">
        <v>351</v>
      </c>
      <c r="B182" s="20" t="s">
        <v>189</v>
      </c>
      <c r="C182" s="24"/>
      <c r="D182" s="21"/>
      <c r="E182" s="21"/>
      <c r="F182" s="24"/>
      <c r="G182" s="21"/>
      <c r="H182" s="225"/>
      <c r="I182" s="30"/>
      <c r="J182" s="27">
        <f>137025+2484+2496</f>
        <v>142005</v>
      </c>
      <c r="K182" s="29"/>
      <c r="L182" s="29"/>
      <c r="M182" s="29"/>
      <c r="N182" s="29"/>
      <c r="O182" s="29"/>
      <c r="P182" s="22">
        <f t="shared" si="38"/>
        <v>142005</v>
      </c>
    </row>
    <row r="183" spans="1:16" ht="15">
      <c r="A183" s="87" t="s">
        <v>352</v>
      </c>
      <c r="B183" s="20" t="s">
        <v>190</v>
      </c>
      <c r="C183" s="24"/>
      <c r="D183" s="21"/>
      <c r="E183" s="21"/>
      <c r="F183" s="24"/>
      <c r="G183" s="21"/>
      <c r="H183" s="225"/>
      <c r="I183" s="30"/>
      <c r="J183" s="27"/>
      <c r="K183" s="28">
        <f>275361+1623</f>
        <v>276984</v>
      </c>
      <c r="L183" s="29">
        <v>62562</v>
      </c>
      <c r="M183" s="29"/>
      <c r="N183" s="29"/>
      <c r="O183" s="29"/>
      <c r="P183" s="22">
        <f t="shared" si="38"/>
        <v>339546</v>
      </c>
    </row>
    <row r="184" spans="1:16" ht="15">
      <c r="A184" s="87" t="s">
        <v>353</v>
      </c>
      <c r="B184" s="20" t="s">
        <v>192</v>
      </c>
      <c r="C184" s="24"/>
      <c r="D184" s="21"/>
      <c r="E184" s="21"/>
      <c r="F184" s="24"/>
      <c r="G184" s="21"/>
      <c r="H184" s="225"/>
      <c r="I184" s="30"/>
      <c r="J184" s="27"/>
      <c r="K184" s="29"/>
      <c r="L184" s="29"/>
      <c r="M184" s="29">
        <v>48385</v>
      </c>
      <c r="N184" s="29">
        <v>29686</v>
      </c>
      <c r="O184" s="28">
        <f>182557+1106</f>
        <v>183663</v>
      </c>
      <c r="P184" s="22">
        <f t="shared" si="38"/>
        <v>261734</v>
      </c>
    </row>
    <row r="185" spans="1:16" ht="15">
      <c r="A185" s="87" t="s">
        <v>354</v>
      </c>
      <c r="B185" s="20" t="s">
        <v>193</v>
      </c>
      <c r="C185" s="24"/>
      <c r="D185" s="21"/>
      <c r="E185" s="21"/>
      <c r="F185" s="24"/>
      <c r="G185" s="21"/>
      <c r="H185" s="196">
        <f>477446+1309</f>
        <v>478755</v>
      </c>
      <c r="I185" s="30"/>
      <c r="J185" s="27"/>
      <c r="K185" s="29"/>
      <c r="L185" s="29"/>
      <c r="M185" s="29"/>
      <c r="N185" s="29"/>
      <c r="O185" s="29"/>
      <c r="P185" s="22">
        <f t="shared" si="38"/>
        <v>478755</v>
      </c>
    </row>
    <row r="186" spans="1:16" ht="15">
      <c r="A186" s="87" t="s">
        <v>355</v>
      </c>
      <c r="B186" s="20" t="s">
        <v>194</v>
      </c>
      <c r="C186" s="24"/>
      <c r="D186" s="21"/>
      <c r="E186" s="21"/>
      <c r="F186" s="24"/>
      <c r="G186" s="21"/>
      <c r="H186" s="125"/>
      <c r="I186" s="27">
        <f>78081+338</f>
        <v>78419</v>
      </c>
      <c r="J186" s="27"/>
      <c r="K186" s="29"/>
      <c r="L186" s="29"/>
      <c r="M186" s="29"/>
      <c r="N186" s="29"/>
      <c r="O186" s="29"/>
      <c r="P186" s="22">
        <f t="shared" si="38"/>
        <v>78419</v>
      </c>
    </row>
    <row r="187" spans="1:16" ht="15">
      <c r="A187" s="87" t="s">
        <v>356</v>
      </c>
      <c r="B187" s="20" t="s">
        <v>195</v>
      </c>
      <c r="C187" s="24"/>
      <c r="D187" s="24"/>
      <c r="E187" s="24"/>
      <c r="F187" s="24"/>
      <c r="G187" s="21"/>
      <c r="H187" s="196">
        <f>218748+12092</f>
        <v>230840</v>
      </c>
      <c r="I187" s="27"/>
      <c r="J187" s="27"/>
      <c r="K187" s="29"/>
      <c r="L187" s="29"/>
      <c r="M187" s="29"/>
      <c r="N187" s="29"/>
      <c r="O187" s="29"/>
      <c r="P187" s="22">
        <f t="shared" si="38"/>
        <v>230840</v>
      </c>
    </row>
    <row r="188" spans="1:16" ht="30">
      <c r="A188" s="88" t="s">
        <v>126</v>
      </c>
      <c r="B188" s="31" t="s">
        <v>127</v>
      </c>
      <c r="C188" s="33">
        <f aca="true" t="shared" si="42" ref="C188:O188">SUM(C189:C194)</f>
        <v>1150005</v>
      </c>
      <c r="D188" s="33">
        <f t="shared" si="42"/>
        <v>0</v>
      </c>
      <c r="E188" s="33">
        <f t="shared" si="42"/>
        <v>0</v>
      </c>
      <c r="F188" s="33">
        <f t="shared" si="42"/>
        <v>0</v>
      </c>
      <c r="G188" s="32">
        <f t="shared" si="42"/>
        <v>0</v>
      </c>
      <c r="H188" s="41">
        <f t="shared" si="42"/>
        <v>0</v>
      </c>
      <c r="I188" s="33">
        <f t="shared" si="42"/>
        <v>0</v>
      </c>
      <c r="J188" s="33">
        <f t="shared" si="42"/>
        <v>0</v>
      </c>
      <c r="K188" s="33">
        <f t="shared" si="42"/>
        <v>78947</v>
      </c>
      <c r="L188" s="33">
        <f t="shared" si="42"/>
        <v>0</v>
      </c>
      <c r="M188" s="33">
        <f t="shared" si="42"/>
        <v>0</v>
      </c>
      <c r="N188" s="33">
        <f t="shared" si="42"/>
        <v>0</v>
      </c>
      <c r="O188" s="33">
        <f t="shared" si="42"/>
        <v>0</v>
      </c>
      <c r="P188" s="22">
        <f t="shared" si="38"/>
        <v>1228952</v>
      </c>
    </row>
    <row r="189" spans="1:16" ht="15">
      <c r="A189" s="87" t="s">
        <v>357</v>
      </c>
      <c r="B189" s="20" t="s">
        <v>8</v>
      </c>
      <c r="C189" s="24">
        <v>332462</v>
      </c>
      <c r="D189" s="21"/>
      <c r="E189" s="21"/>
      <c r="F189" s="24"/>
      <c r="G189" s="21"/>
      <c r="H189" s="200"/>
      <c r="I189" s="30"/>
      <c r="J189" s="30"/>
      <c r="K189" s="28"/>
      <c r="L189" s="28"/>
      <c r="M189" s="28"/>
      <c r="N189" s="28"/>
      <c r="O189" s="29"/>
      <c r="P189" s="22">
        <f t="shared" si="38"/>
        <v>332462</v>
      </c>
    </row>
    <row r="190" spans="1:16" ht="15">
      <c r="A190" s="87" t="s">
        <v>358</v>
      </c>
      <c r="B190" s="20" t="s">
        <v>141</v>
      </c>
      <c r="C190" s="24">
        <v>125387</v>
      </c>
      <c r="D190" s="21"/>
      <c r="E190" s="21"/>
      <c r="F190" s="24"/>
      <c r="G190" s="21"/>
      <c r="H190" s="200"/>
      <c r="I190" s="30"/>
      <c r="J190" s="30"/>
      <c r="K190" s="28"/>
      <c r="L190" s="28"/>
      <c r="M190" s="28"/>
      <c r="N190" s="28"/>
      <c r="O190" s="29"/>
      <c r="P190" s="22">
        <f t="shared" si="38"/>
        <v>125387</v>
      </c>
    </row>
    <row r="191" spans="1:16" ht="15">
      <c r="A191" s="87" t="s">
        <v>359</v>
      </c>
      <c r="B191" s="20" t="s">
        <v>128</v>
      </c>
      <c r="C191" s="24">
        <v>366782</v>
      </c>
      <c r="D191" s="21"/>
      <c r="E191" s="21"/>
      <c r="F191" s="24"/>
      <c r="G191" s="21"/>
      <c r="H191" s="200"/>
      <c r="I191" s="30"/>
      <c r="J191" s="30"/>
      <c r="K191" s="28"/>
      <c r="L191" s="28"/>
      <c r="M191" s="28"/>
      <c r="N191" s="28"/>
      <c r="O191" s="29"/>
      <c r="P191" s="22">
        <f t="shared" si="38"/>
        <v>366782</v>
      </c>
    </row>
    <row r="192" spans="1:16" ht="15">
      <c r="A192" s="87" t="s">
        <v>360</v>
      </c>
      <c r="B192" s="20" t="s">
        <v>129</v>
      </c>
      <c r="C192" s="24">
        <v>267901</v>
      </c>
      <c r="D192" s="21"/>
      <c r="E192" s="21"/>
      <c r="F192" s="24"/>
      <c r="G192" s="21"/>
      <c r="H192" s="26"/>
      <c r="I192" s="30"/>
      <c r="J192" s="30"/>
      <c r="K192" s="28"/>
      <c r="L192" s="28"/>
      <c r="M192" s="28"/>
      <c r="N192" s="28"/>
      <c r="O192" s="29"/>
      <c r="P192" s="22">
        <f aca="true" t="shared" si="43" ref="P192:P204">SUM(C192:O192)</f>
        <v>267901</v>
      </c>
    </row>
    <row r="193" spans="1:16" ht="15">
      <c r="A193" s="87" t="s">
        <v>361</v>
      </c>
      <c r="B193" s="20" t="s">
        <v>130</v>
      </c>
      <c r="C193" s="21">
        <v>57473</v>
      </c>
      <c r="D193" s="21"/>
      <c r="E193" s="21"/>
      <c r="F193" s="21"/>
      <c r="G193" s="21"/>
      <c r="H193" s="200"/>
      <c r="I193" s="30"/>
      <c r="J193" s="30"/>
      <c r="K193" s="28"/>
      <c r="L193" s="28"/>
      <c r="M193" s="28"/>
      <c r="N193" s="28"/>
      <c r="O193" s="29"/>
      <c r="P193" s="22">
        <f t="shared" si="43"/>
        <v>57473</v>
      </c>
    </row>
    <row r="194" spans="1:16" ht="15">
      <c r="A194" s="87" t="s">
        <v>362</v>
      </c>
      <c r="B194" s="20" t="s">
        <v>196</v>
      </c>
      <c r="C194" s="21"/>
      <c r="D194" s="21"/>
      <c r="E194" s="21"/>
      <c r="F194" s="21"/>
      <c r="G194" s="21"/>
      <c r="H194" s="200"/>
      <c r="I194" s="30"/>
      <c r="J194" s="30"/>
      <c r="K194" s="226">
        <f>78697+250</f>
        <v>78947</v>
      </c>
      <c r="L194" s="28"/>
      <c r="M194" s="28"/>
      <c r="N194" s="28"/>
      <c r="O194" s="29"/>
      <c r="P194" s="22">
        <f t="shared" si="43"/>
        <v>78947</v>
      </c>
    </row>
    <row r="195" spans="1:16" s="77" customFormat="1" ht="30">
      <c r="A195" s="88" t="s">
        <v>197</v>
      </c>
      <c r="B195" s="90" t="s">
        <v>198</v>
      </c>
      <c r="C195" s="32">
        <f aca="true" t="shared" si="44" ref="C195:O195">SUM(C196:C197)</f>
        <v>0</v>
      </c>
      <c r="D195" s="32">
        <f t="shared" si="44"/>
        <v>0</v>
      </c>
      <c r="E195" s="32">
        <f t="shared" si="44"/>
        <v>0</v>
      </c>
      <c r="F195" s="32">
        <f t="shared" si="44"/>
        <v>0</v>
      </c>
      <c r="G195" s="32">
        <f t="shared" si="44"/>
        <v>0</v>
      </c>
      <c r="H195" s="42">
        <f t="shared" si="44"/>
        <v>0</v>
      </c>
      <c r="I195" s="32">
        <f t="shared" si="44"/>
        <v>0</v>
      </c>
      <c r="J195" s="32">
        <f t="shared" si="44"/>
        <v>0</v>
      </c>
      <c r="K195" s="32">
        <f t="shared" si="44"/>
        <v>0</v>
      </c>
      <c r="L195" s="32">
        <f t="shared" si="44"/>
        <v>0</v>
      </c>
      <c r="M195" s="32">
        <f t="shared" si="44"/>
        <v>0</v>
      </c>
      <c r="N195" s="32">
        <f t="shared" si="44"/>
        <v>0</v>
      </c>
      <c r="O195" s="32">
        <f t="shared" si="44"/>
        <v>0</v>
      </c>
      <c r="P195" s="22">
        <f t="shared" si="43"/>
        <v>0</v>
      </c>
    </row>
    <row r="196" spans="1:16" ht="26.25">
      <c r="A196" s="87" t="s">
        <v>363</v>
      </c>
      <c r="B196" s="1" t="s">
        <v>199</v>
      </c>
      <c r="C196" s="21"/>
      <c r="D196" s="21"/>
      <c r="E196" s="21"/>
      <c r="F196" s="21"/>
      <c r="G196" s="21"/>
      <c r="H196" s="200"/>
      <c r="I196" s="30"/>
      <c r="J196" s="30"/>
      <c r="K196" s="28"/>
      <c r="L196" s="28"/>
      <c r="M196" s="28"/>
      <c r="N196" s="28"/>
      <c r="O196" s="29"/>
      <c r="P196" s="22">
        <f t="shared" si="43"/>
        <v>0</v>
      </c>
    </row>
    <row r="197" spans="1:16" ht="15">
      <c r="A197" s="87" t="s">
        <v>364</v>
      </c>
      <c r="B197" s="106"/>
      <c r="C197" s="21"/>
      <c r="D197" s="21"/>
      <c r="E197" s="21"/>
      <c r="F197" s="21"/>
      <c r="G197" s="21"/>
      <c r="H197" s="200"/>
      <c r="I197" s="30"/>
      <c r="J197" s="30"/>
      <c r="K197" s="28"/>
      <c r="L197" s="28"/>
      <c r="M197" s="28"/>
      <c r="N197" s="28"/>
      <c r="O197" s="29"/>
      <c r="P197" s="22">
        <f t="shared" si="43"/>
        <v>0</v>
      </c>
    </row>
    <row r="198" spans="1:16" ht="15">
      <c r="A198" s="101" t="s">
        <v>200</v>
      </c>
      <c r="B198" s="31" t="s">
        <v>201</v>
      </c>
      <c r="C198" s="32">
        <v>29700</v>
      </c>
      <c r="D198" s="21"/>
      <c r="E198" s="21"/>
      <c r="F198" s="21"/>
      <c r="G198" s="21"/>
      <c r="H198" s="200"/>
      <c r="I198" s="30"/>
      <c r="J198" s="30"/>
      <c r="K198" s="126">
        <v>58055</v>
      </c>
      <c r="L198" s="28"/>
      <c r="M198" s="28"/>
      <c r="N198" s="28"/>
      <c r="O198" s="29"/>
      <c r="P198" s="22">
        <f t="shared" si="43"/>
        <v>87755</v>
      </c>
    </row>
    <row r="199" spans="1:16" ht="30">
      <c r="A199" s="88" t="s">
        <v>202</v>
      </c>
      <c r="B199" s="31" t="s">
        <v>365</v>
      </c>
      <c r="C199" s="33">
        <v>203543</v>
      </c>
      <c r="D199" s="33"/>
      <c r="E199" s="33"/>
      <c r="F199" s="33"/>
      <c r="G199" s="32"/>
      <c r="H199" s="229"/>
      <c r="I199" s="127"/>
      <c r="J199" s="127"/>
      <c r="K199" s="128"/>
      <c r="L199" s="128"/>
      <c r="M199" s="128"/>
      <c r="N199" s="128"/>
      <c r="O199" s="128"/>
      <c r="P199" s="22">
        <f t="shared" si="43"/>
        <v>203543</v>
      </c>
    </row>
    <row r="200" spans="1:16" ht="30.75" customHeight="1" thickBot="1">
      <c r="A200" s="129" t="s">
        <v>131</v>
      </c>
      <c r="B200" s="130" t="s">
        <v>366</v>
      </c>
      <c r="C200" s="131">
        <f>SUM(C201:C212)</f>
        <v>267185</v>
      </c>
      <c r="D200" s="131">
        <f>SUM(D201:D212)</f>
        <v>0</v>
      </c>
      <c r="E200" s="131">
        <f>SUM(E201:E212)</f>
        <v>0</v>
      </c>
      <c r="F200" s="131">
        <f>SUM(F201:F212)</f>
        <v>0</v>
      </c>
      <c r="G200" s="132"/>
      <c r="H200" s="230">
        <f aca="true" t="shared" si="45" ref="H200:O200">SUM(H201:H212)</f>
        <v>9175</v>
      </c>
      <c r="I200" s="132">
        <f t="shared" si="45"/>
        <v>0</v>
      </c>
      <c r="J200" s="132">
        <f t="shared" si="45"/>
        <v>10434</v>
      </c>
      <c r="K200" s="131">
        <f t="shared" si="45"/>
        <v>6314</v>
      </c>
      <c r="L200" s="131">
        <f t="shared" si="45"/>
        <v>14078</v>
      </c>
      <c r="M200" s="131">
        <f t="shared" si="45"/>
        <v>8658</v>
      </c>
      <c r="N200" s="131">
        <f t="shared" si="45"/>
        <v>7283</v>
      </c>
      <c r="O200" s="131">
        <f t="shared" si="45"/>
        <v>9837</v>
      </c>
      <c r="P200" s="231">
        <f t="shared" si="43"/>
        <v>332964</v>
      </c>
    </row>
    <row r="201" spans="1:16" ht="15">
      <c r="A201" s="134" t="s">
        <v>367</v>
      </c>
      <c r="B201" s="118" t="s">
        <v>238</v>
      </c>
      <c r="C201" s="86"/>
      <c r="D201" s="58"/>
      <c r="E201" s="58"/>
      <c r="F201" s="86"/>
      <c r="G201" s="58"/>
      <c r="H201" s="232"/>
      <c r="I201" s="60"/>
      <c r="J201" s="60"/>
      <c r="K201" s="61"/>
      <c r="L201" s="61"/>
      <c r="M201" s="61"/>
      <c r="N201" s="61"/>
      <c r="O201" s="62"/>
      <c r="P201" s="116">
        <f t="shared" si="43"/>
        <v>0</v>
      </c>
    </row>
    <row r="202" spans="1:16" ht="29.25">
      <c r="A202" s="134" t="s">
        <v>368</v>
      </c>
      <c r="B202" s="20" t="s">
        <v>203</v>
      </c>
      <c r="C202" s="39"/>
      <c r="D202" s="21"/>
      <c r="E202" s="21"/>
      <c r="F202" s="24"/>
      <c r="G202" s="21"/>
      <c r="H202" s="200"/>
      <c r="I202" s="30"/>
      <c r="J202" s="30"/>
      <c r="K202" s="28"/>
      <c r="L202" s="28"/>
      <c r="M202" s="28"/>
      <c r="N202" s="28"/>
      <c r="O202" s="29"/>
      <c r="P202" s="22">
        <f t="shared" si="43"/>
        <v>0</v>
      </c>
    </row>
    <row r="203" spans="1:16" ht="15">
      <c r="A203" s="134" t="s">
        <v>369</v>
      </c>
      <c r="B203" s="20" t="s">
        <v>370</v>
      </c>
      <c r="C203" s="24">
        <v>2952</v>
      </c>
      <c r="D203" s="21"/>
      <c r="E203" s="21"/>
      <c r="F203" s="24"/>
      <c r="G203" s="21"/>
      <c r="H203" s="200"/>
      <c r="I203" s="30"/>
      <c r="J203" s="30"/>
      <c r="K203" s="28"/>
      <c r="L203" s="28"/>
      <c r="M203" s="28"/>
      <c r="N203" s="28"/>
      <c r="O203" s="29"/>
      <c r="P203" s="22">
        <f t="shared" si="43"/>
        <v>2952</v>
      </c>
    </row>
    <row r="204" spans="1:16" ht="29.25">
      <c r="A204" s="134" t="s">
        <v>371</v>
      </c>
      <c r="B204" s="20" t="s">
        <v>204</v>
      </c>
      <c r="C204" s="24"/>
      <c r="D204" s="21"/>
      <c r="E204" s="21"/>
      <c r="F204" s="24"/>
      <c r="G204" s="21"/>
      <c r="H204" s="200"/>
      <c r="I204" s="30"/>
      <c r="J204" s="30"/>
      <c r="K204" s="28"/>
      <c r="L204" s="28"/>
      <c r="M204" s="28"/>
      <c r="N204" s="28"/>
      <c r="O204" s="29"/>
      <c r="P204" s="22">
        <f t="shared" si="43"/>
        <v>0</v>
      </c>
    </row>
    <row r="205" spans="1:16" ht="15">
      <c r="A205" s="134" t="s">
        <v>372</v>
      </c>
      <c r="B205" s="118" t="s">
        <v>207</v>
      </c>
      <c r="C205" s="24"/>
      <c r="D205" s="21"/>
      <c r="E205" s="21"/>
      <c r="F205" s="24"/>
      <c r="G205" s="21"/>
      <c r="H205" s="200"/>
      <c r="I205" s="30"/>
      <c r="J205" s="30"/>
      <c r="K205" s="28"/>
      <c r="L205" s="28"/>
      <c r="M205" s="28"/>
      <c r="N205" s="28"/>
      <c r="O205" s="29"/>
      <c r="P205" s="22"/>
    </row>
    <row r="206" spans="1:16" ht="15">
      <c r="A206" s="134" t="s">
        <v>373</v>
      </c>
      <c r="B206" s="20" t="s">
        <v>205</v>
      </c>
      <c r="C206" s="24"/>
      <c r="D206" s="21"/>
      <c r="E206" s="21"/>
      <c r="F206" s="24"/>
      <c r="G206" s="21"/>
      <c r="H206" s="200"/>
      <c r="I206" s="30"/>
      <c r="J206" s="30"/>
      <c r="K206" s="28"/>
      <c r="L206" s="28"/>
      <c r="M206" s="28"/>
      <c r="N206" s="28"/>
      <c r="O206" s="29"/>
      <c r="P206" s="22">
        <f aca="true" t="shared" si="46" ref="P206:P237">SUM(C206:O206)</f>
        <v>0</v>
      </c>
    </row>
    <row r="207" spans="1:16" ht="15">
      <c r="A207" s="134" t="s">
        <v>374</v>
      </c>
      <c r="B207" s="233" t="s">
        <v>233</v>
      </c>
      <c r="C207" s="24"/>
      <c r="D207" s="21"/>
      <c r="E207" s="21"/>
      <c r="F207" s="24"/>
      <c r="G207" s="21"/>
      <c r="H207" s="200"/>
      <c r="I207" s="30"/>
      <c r="J207" s="30"/>
      <c r="K207" s="28"/>
      <c r="L207" s="28">
        <v>14078</v>
      </c>
      <c r="M207" s="28">
        <v>8658</v>
      </c>
      <c r="N207" s="28"/>
      <c r="O207" s="29"/>
      <c r="P207" s="22">
        <f t="shared" si="46"/>
        <v>22736</v>
      </c>
    </row>
    <row r="208" spans="1:16" ht="15">
      <c r="A208" s="134" t="s">
        <v>375</v>
      </c>
      <c r="B208" s="234" t="s">
        <v>234</v>
      </c>
      <c r="C208" s="24"/>
      <c r="D208" s="21"/>
      <c r="E208" s="21"/>
      <c r="F208" s="24"/>
      <c r="G208" s="21"/>
      <c r="H208" s="26">
        <v>9175</v>
      </c>
      <c r="I208" s="30"/>
      <c r="J208" s="27">
        <v>10434</v>
      </c>
      <c r="K208" s="28">
        <v>6314</v>
      </c>
      <c r="L208" s="28"/>
      <c r="M208" s="28"/>
      <c r="N208" s="28">
        <v>7283</v>
      </c>
      <c r="O208" s="29">
        <v>9837</v>
      </c>
      <c r="P208" s="22">
        <f t="shared" si="46"/>
        <v>43043</v>
      </c>
    </row>
    <row r="209" spans="1:16" ht="29.25">
      <c r="A209" s="134" t="s">
        <v>376</v>
      </c>
      <c r="B209" s="20" t="s">
        <v>377</v>
      </c>
      <c r="C209" s="24"/>
      <c r="D209" s="21"/>
      <c r="E209" s="21"/>
      <c r="F209" s="24"/>
      <c r="G209" s="21"/>
      <c r="H209" s="200"/>
      <c r="I209" s="30"/>
      <c r="J209" s="30"/>
      <c r="K209" s="28"/>
      <c r="L209" s="28"/>
      <c r="M209" s="28"/>
      <c r="N209" s="28"/>
      <c r="O209" s="29"/>
      <c r="P209" s="22">
        <f t="shared" si="46"/>
        <v>0</v>
      </c>
    </row>
    <row r="210" spans="1:16" ht="29.25">
      <c r="A210" s="134" t="s">
        <v>378</v>
      </c>
      <c r="B210" s="20" t="s">
        <v>206</v>
      </c>
      <c r="C210" s="24"/>
      <c r="D210" s="21"/>
      <c r="E210" s="21"/>
      <c r="F210" s="24"/>
      <c r="G210" s="21"/>
      <c r="H210" s="26"/>
      <c r="I210" s="30"/>
      <c r="J210" s="30"/>
      <c r="K210" s="28"/>
      <c r="L210" s="28"/>
      <c r="M210" s="28"/>
      <c r="N210" s="28"/>
      <c r="O210" s="29"/>
      <c r="P210" s="22">
        <f t="shared" si="46"/>
        <v>0</v>
      </c>
    </row>
    <row r="211" spans="1:16" ht="29.25">
      <c r="A211" s="134" t="s">
        <v>379</v>
      </c>
      <c r="B211" s="135" t="s">
        <v>447</v>
      </c>
      <c r="C211" s="24">
        <v>237000</v>
      </c>
      <c r="D211" s="24"/>
      <c r="E211" s="24"/>
      <c r="F211" s="24"/>
      <c r="G211" s="21"/>
      <c r="H211" s="200"/>
      <c r="I211" s="30"/>
      <c r="J211" s="30"/>
      <c r="K211" s="28"/>
      <c r="L211" s="28"/>
      <c r="M211" s="28"/>
      <c r="N211" s="28"/>
      <c r="O211" s="29"/>
      <c r="P211" s="22">
        <f t="shared" si="46"/>
        <v>237000</v>
      </c>
    </row>
    <row r="212" spans="1:16" ht="15.75" thickBot="1">
      <c r="A212" s="134" t="s">
        <v>380</v>
      </c>
      <c r="B212" s="20" t="s">
        <v>448</v>
      </c>
      <c r="C212" s="114">
        <v>27233</v>
      </c>
      <c r="D212" s="114"/>
      <c r="E212" s="114"/>
      <c r="F212" s="114"/>
      <c r="G212" s="192"/>
      <c r="H212" s="247"/>
      <c r="I212" s="103"/>
      <c r="J212" s="103"/>
      <c r="K212" s="47"/>
      <c r="L212" s="47"/>
      <c r="M212" s="47"/>
      <c r="N212" s="47"/>
      <c r="O212" s="48"/>
      <c r="P212" s="22">
        <f t="shared" si="46"/>
        <v>27233</v>
      </c>
    </row>
    <row r="213" spans="1:16" ht="15.75" thickBot="1">
      <c r="A213" s="99" t="s">
        <v>7</v>
      </c>
      <c r="B213" s="81" t="s">
        <v>132</v>
      </c>
      <c r="C213" s="82">
        <f aca="true" t="shared" si="47" ref="C213:O213">SUM(C214+C215+C216+C217)</f>
        <v>1385447</v>
      </c>
      <c r="D213" s="82">
        <f t="shared" si="47"/>
        <v>15696</v>
      </c>
      <c r="E213" s="82">
        <f t="shared" si="47"/>
        <v>0</v>
      </c>
      <c r="F213" s="82">
        <f t="shared" si="47"/>
        <v>0</v>
      </c>
      <c r="G213" s="83">
        <f t="shared" si="47"/>
        <v>0</v>
      </c>
      <c r="H213" s="198">
        <f t="shared" si="47"/>
        <v>64483</v>
      </c>
      <c r="I213" s="82">
        <f t="shared" si="47"/>
        <v>202481</v>
      </c>
      <c r="J213" s="82">
        <f t="shared" si="47"/>
        <v>21755</v>
      </c>
      <c r="K213" s="82">
        <f t="shared" si="47"/>
        <v>412093</v>
      </c>
      <c r="L213" s="82">
        <f t="shared" si="47"/>
        <v>22850</v>
      </c>
      <c r="M213" s="82">
        <f t="shared" si="47"/>
        <v>19635</v>
      </c>
      <c r="N213" s="82">
        <f t="shared" si="47"/>
        <v>18130</v>
      </c>
      <c r="O213" s="82">
        <f t="shared" si="47"/>
        <v>50082</v>
      </c>
      <c r="P213" s="84">
        <f t="shared" si="46"/>
        <v>2212652</v>
      </c>
    </row>
    <row r="214" spans="1:16" ht="30">
      <c r="A214" s="88" t="s">
        <v>235</v>
      </c>
      <c r="B214" s="136" t="s">
        <v>236</v>
      </c>
      <c r="C214" s="137">
        <v>51827</v>
      </c>
      <c r="D214" s="138"/>
      <c r="E214" s="138"/>
      <c r="F214" s="137"/>
      <c r="G214" s="138"/>
      <c r="H214" s="235">
        <v>14878</v>
      </c>
      <c r="I214" s="180"/>
      <c r="J214" s="181">
        <v>450</v>
      </c>
      <c r="K214" s="182">
        <v>22284</v>
      </c>
      <c r="L214" s="182"/>
      <c r="M214" s="182"/>
      <c r="N214" s="182">
        <v>680</v>
      </c>
      <c r="O214" s="248">
        <v>11927</v>
      </c>
      <c r="P214" s="183">
        <f t="shared" si="46"/>
        <v>102046</v>
      </c>
    </row>
    <row r="215" spans="1:16" ht="15">
      <c r="A215" s="85" t="s">
        <v>208</v>
      </c>
      <c r="B215" s="15" t="s">
        <v>209</v>
      </c>
      <c r="C215" s="17">
        <v>81626</v>
      </c>
      <c r="D215" s="17"/>
      <c r="E215" s="17"/>
      <c r="F215" s="17"/>
      <c r="G215" s="16"/>
      <c r="H215" s="171">
        <v>4800</v>
      </c>
      <c r="I215" s="16">
        <v>2400</v>
      </c>
      <c r="J215" s="16">
        <v>4800</v>
      </c>
      <c r="K215" s="16">
        <v>4800</v>
      </c>
      <c r="L215" s="32">
        <v>3600</v>
      </c>
      <c r="M215" s="236">
        <v>3600</v>
      </c>
      <c r="N215" s="17">
        <v>3600</v>
      </c>
      <c r="O215" s="17">
        <v>2400</v>
      </c>
      <c r="P215" s="116">
        <f t="shared" si="46"/>
        <v>111626</v>
      </c>
    </row>
    <row r="216" spans="1:16" ht="15">
      <c r="A216" s="85" t="s">
        <v>133</v>
      </c>
      <c r="B216" s="15" t="s">
        <v>134</v>
      </c>
      <c r="C216" s="139">
        <v>30000</v>
      </c>
      <c r="D216" s="58"/>
      <c r="E216" s="58"/>
      <c r="F216" s="86"/>
      <c r="G216" s="58"/>
      <c r="H216" s="205"/>
      <c r="I216" s="60"/>
      <c r="J216" s="60"/>
      <c r="K216" s="61"/>
      <c r="L216" s="61"/>
      <c r="M216" s="61"/>
      <c r="N216" s="61"/>
      <c r="O216" s="62"/>
      <c r="P216" s="22">
        <f t="shared" si="46"/>
        <v>30000</v>
      </c>
    </row>
    <row r="217" spans="1:16" ht="30">
      <c r="A217" s="88" t="s">
        <v>135</v>
      </c>
      <c r="B217" s="31" t="s">
        <v>136</v>
      </c>
      <c r="C217" s="33">
        <f>SUM(C218:C231)</f>
        <v>1221994</v>
      </c>
      <c r="D217" s="33">
        <v>15696</v>
      </c>
      <c r="E217" s="33">
        <f aca="true" t="shared" si="48" ref="E217:O217">SUM(E218:E231)</f>
        <v>0</v>
      </c>
      <c r="F217" s="33">
        <f t="shared" si="48"/>
        <v>0</v>
      </c>
      <c r="G217" s="33">
        <f t="shared" si="48"/>
        <v>0</v>
      </c>
      <c r="H217" s="33">
        <f t="shared" si="48"/>
        <v>44805</v>
      </c>
      <c r="I217" s="33">
        <f t="shared" si="48"/>
        <v>200081</v>
      </c>
      <c r="J217" s="33">
        <f t="shared" si="48"/>
        <v>16505</v>
      </c>
      <c r="K217" s="33">
        <f t="shared" si="48"/>
        <v>385009</v>
      </c>
      <c r="L217" s="33">
        <f t="shared" si="48"/>
        <v>19250</v>
      </c>
      <c r="M217" s="33">
        <f t="shared" si="48"/>
        <v>16035</v>
      </c>
      <c r="N217" s="33">
        <f t="shared" si="48"/>
        <v>13850</v>
      </c>
      <c r="O217" s="33">
        <f t="shared" si="48"/>
        <v>35755</v>
      </c>
      <c r="P217" s="22">
        <f t="shared" si="46"/>
        <v>1968980</v>
      </c>
    </row>
    <row r="218" spans="1:16" ht="15">
      <c r="A218" s="87" t="s">
        <v>381</v>
      </c>
      <c r="B218" s="20" t="s">
        <v>137</v>
      </c>
      <c r="C218" s="24">
        <v>497829</v>
      </c>
      <c r="D218" s="21"/>
      <c r="E218" s="21"/>
      <c r="F218" s="24"/>
      <c r="G218" s="21"/>
      <c r="H218" s="26">
        <v>3620</v>
      </c>
      <c r="I218" s="27"/>
      <c r="J218" s="27">
        <v>535</v>
      </c>
      <c r="K218" s="28">
        <v>2736</v>
      </c>
      <c r="L218" s="28">
        <v>300</v>
      </c>
      <c r="M218" s="28">
        <v>835</v>
      </c>
      <c r="N218" s="28">
        <v>1530</v>
      </c>
      <c r="O218" s="29">
        <v>1698</v>
      </c>
      <c r="P218" s="22">
        <f t="shared" si="46"/>
        <v>509083</v>
      </c>
    </row>
    <row r="219" spans="1:16" ht="15">
      <c r="A219" s="87" t="s">
        <v>382</v>
      </c>
      <c r="B219" s="20" t="s">
        <v>19</v>
      </c>
      <c r="C219" s="24">
        <v>703800</v>
      </c>
      <c r="D219" s="21"/>
      <c r="E219" s="21"/>
      <c r="F219" s="24"/>
      <c r="G219" s="21"/>
      <c r="H219" s="26">
        <v>41185</v>
      </c>
      <c r="I219" s="27">
        <v>26020</v>
      </c>
      <c r="J219" s="27">
        <v>15970</v>
      </c>
      <c r="K219" s="28">
        <v>47935</v>
      </c>
      <c r="L219" s="28">
        <v>18950</v>
      </c>
      <c r="M219" s="28">
        <v>15200</v>
      </c>
      <c r="N219" s="28">
        <v>12320</v>
      </c>
      <c r="O219" s="29">
        <v>34057</v>
      </c>
      <c r="P219" s="22">
        <f t="shared" si="46"/>
        <v>915437</v>
      </c>
    </row>
    <row r="220" spans="1:16" ht="15">
      <c r="A220" s="87" t="s">
        <v>383</v>
      </c>
      <c r="B220" s="237" t="s">
        <v>384</v>
      </c>
      <c r="C220" s="24"/>
      <c r="D220" s="21"/>
      <c r="E220" s="21"/>
      <c r="F220" s="24"/>
      <c r="G220" s="21"/>
      <c r="H220" s="26"/>
      <c r="I220" s="27"/>
      <c r="J220" s="27"/>
      <c r="K220" s="28"/>
      <c r="L220" s="28"/>
      <c r="M220" s="28"/>
      <c r="N220" s="28"/>
      <c r="O220" s="29"/>
      <c r="P220" s="22">
        <f t="shared" si="46"/>
        <v>0</v>
      </c>
    </row>
    <row r="221" spans="1:16" ht="15">
      <c r="A221" s="87" t="s">
        <v>385</v>
      </c>
      <c r="B221" s="20" t="s">
        <v>211</v>
      </c>
      <c r="C221" s="24"/>
      <c r="D221" s="21"/>
      <c r="E221" s="21"/>
      <c r="F221" s="24"/>
      <c r="G221" s="21"/>
      <c r="H221" s="26"/>
      <c r="I221" s="27">
        <v>174061</v>
      </c>
      <c r="J221" s="27"/>
      <c r="K221" s="28"/>
      <c r="L221" s="28"/>
      <c r="M221" s="28"/>
      <c r="N221" s="28"/>
      <c r="O221" s="29"/>
      <c r="P221" s="22">
        <f t="shared" si="46"/>
        <v>174061</v>
      </c>
    </row>
    <row r="222" spans="1:16" ht="15">
      <c r="A222" s="87" t="s">
        <v>386</v>
      </c>
      <c r="B222" s="20" t="s">
        <v>212</v>
      </c>
      <c r="C222" s="24"/>
      <c r="D222" s="21"/>
      <c r="E222" s="21"/>
      <c r="F222" s="24"/>
      <c r="G222" s="21"/>
      <c r="H222" s="26"/>
      <c r="I222" s="27"/>
      <c r="J222" s="27"/>
      <c r="K222" s="28">
        <v>333354</v>
      </c>
      <c r="L222" s="28"/>
      <c r="M222" s="28"/>
      <c r="N222" s="28"/>
      <c r="O222" s="29"/>
      <c r="P222" s="22">
        <f t="shared" si="46"/>
        <v>333354</v>
      </c>
    </row>
    <row r="223" spans="1:16" ht="15">
      <c r="A223" s="87" t="s">
        <v>387</v>
      </c>
      <c r="B223" s="20" t="s">
        <v>388</v>
      </c>
      <c r="C223" s="21">
        <v>1000</v>
      </c>
      <c r="D223" s="21"/>
      <c r="E223" s="21"/>
      <c r="F223" s="24"/>
      <c r="G223" s="21"/>
      <c r="H223" s="200"/>
      <c r="I223" s="30"/>
      <c r="J223" s="30"/>
      <c r="K223" s="28"/>
      <c r="L223" s="28"/>
      <c r="M223" s="28"/>
      <c r="N223" s="28"/>
      <c r="O223" s="29"/>
      <c r="P223" s="22">
        <f t="shared" si="46"/>
        <v>1000</v>
      </c>
    </row>
    <row r="224" spans="1:16" ht="15">
      <c r="A224" s="87" t="s">
        <v>389</v>
      </c>
      <c r="B224" s="20" t="s">
        <v>138</v>
      </c>
      <c r="C224" s="24">
        <v>7965</v>
      </c>
      <c r="D224" s="21"/>
      <c r="E224" s="21"/>
      <c r="F224" s="24"/>
      <c r="G224" s="21"/>
      <c r="H224" s="200"/>
      <c r="I224" s="30"/>
      <c r="J224" s="30"/>
      <c r="K224" s="28"/>
      <c r="L224" s="28"/>
      <c r="M224" s="28"/>
      <c r="N224" s="28"/>
      <c r="O224" s="29"/>
      <c r="P224" s="22">
        <f t="shared" si="46"/>
        <v>7965</v>
      </c>
    </row>
    <row r="225" spans="1:16" ht="15">
      <c r="A225" s="87" t="s">
        <v>390</v>
      </c>
      <c r="B225" s="20" t="s">
        <v>139</v>
      </c>
      <c r="C225" s="24">
        <v>400</v>
      </c>
      <c r="D225" s="21"/>
      <c r="E225" s="21"/>
      <c r="F225" s="24"/>
      <c r="G225" s="21"/>
      <c r="H225" s="200"/>
      <c r="I225" s="30"/>
      <c r="J225" s="30"/>
      <c r="K225" s="28"/>
      <c r="L225" s="28"/>
      <c r="M225" s="28"/>
      <c r="N225" s="28"/>
      <c r="O225" s="29"/>
      <c r="P225" s="22">
        <f t="shared" si="46"/>
        <v>400</v>
      </c>
    </row>
    <row r="226" spans="1:16" ht="15">
      <c r="A226" s="87" t="s">
        <v>391</v>
      </c>
      <c r="B226" s="20" t="s">
        <v>140</v>
      </c>
      <c r="C226" s="24">
        <v>9410</v>
      </c>
      <c r="D226" s="21"/>
      <c r="E226" s="21"/>
      <c r="F226" s="24"/>
      <c r="G226" s="21"/>
      <c r="H226" s="200"/>
      <c r="I226" s="30"/>
      <c r="J226" s="30"/>
      <c r="K226" s="28"/>
      <c r="L226" s="28"/>
      <c r="M226" s="28"/>
      <c r="N226" s="28"/>
      <c r="O226" s="29"/>
      <c r="P226" s="22">
        <f t="shared" si="46"/>
        <v>9410</v>
      </c>
    </row>
    <row r="227" spans="1:16" ht="15">
      <c r="A227" s="87" t="s">
        <v>392</v>
      </c>
      <c r="B227" s="20" t="s">
        <v>210</v>
      </c>
      <c r="C227" s="39"/>
      <c r="D227" s="21"/>
      <c r="E227" s="21"/>
      <c r="F227" s="24"/>
      <c r="G227" s="21"/>
      <c r="H227" s="225"/>
      <c r="I227" s="27"/>
      <c r="J227" s="30"/>
      <c r="K227" s="29">
        <v>984</v>
      </c>
      <c r="L227" s="29"/>
      <c r="M227" s="29"/>
      <c r="N227" s="29"/>
      <c r="O227" s="29"/>
      <c r="P227" s="22">
        <f t="shared" si="46"/>
        <v>984</v>
      </c>
    </row>
    <row r="228" spans="1:16" ht="15">
      <c r="A228" s="87" t="s">
        <v>393</v>
      </c>
      <c r="B228" s="20" t="s">
        <v>213</v>
      </c>
      <c r="C228" s="24">
        <v>300</v>
      </c>
      <c r="D228" s="24"/>
      <c r="E228" s="24"/>
      <c r="F228" s="24"/>
      <c r="G228" s="21"/>
      <c r="H228" s="200"/>
      <c r="I228" s="30"/>
      <c r="J228" s="30"/>
      <c r="K228" s="28"/>
      <c r="L228" s="28"/>
      <c r="M228" s="28"/>
      <c r="N228" s="28"/>
      <c r="O228" s="29"/>
      <c r="P228" s="22">
        <f t="shared" si="46"/>
        <v>300</v>
      </c>
    </row>
    <row r="229" spans="1:16" ht="15">
      <c r="A229" s="87" t="s">
        <v>394</v>
      </c>
      <c r="B229" s="20" t="s">
        <v>449</v>
      </c>
      <c r="C229" s="114">
        <v>200</v>
      </c>
      <c r="D229" s="114"/>
      <c r="E229" s="114"/>
      <c r="F229" s="114"/>
      <c r="G229" s="192"/>
      <c r="H229" s="222"/>
      <c r="I229" s="140"/>
      <c r="J229" s="140"/>
      <c r="K229" s="115"/>
      <c r="L229" s="115"/>
      <c r="M229" s="115"/>
      <c r="N229" s="115"/>
      <c r="O229" s="115"/>
      <c r="P229" s="22">
        <f t="shared" si="46"/>
        <v>200</v>
      </c>
    </row>
    <row r="230" spans="1:16" ht="15">
      <c r="A230" s="87" t="s">
        <v>411</v>
      </c>
      <c r="B230" s="20" t="s">
        <v>412</v>
      </c>
      <c r="C230" s="24">
        <v>1090</v>
      </c>
      <c r="D230" s="24"/>
      <c r="E230" s="24"/>
      <c r="F230" s="24"/>
      <c r="G230" s="21"/>
      <c r="H230" s="225"/>
      <c r="I230" s="30"/>
      <c r="J230" s="30"/>
      <c r="K230" s="29"/>
      <c r="L230" s="29"/>
      <c r="M230" s="29"/>
      <c r="N230" s="29"/>
      <c r="O230" s="179"/>
      <c r="P230" s="22">
        <f t="shared" si="46"/>
        <v>1090</v>
      </c>
    </row>
    <row r="231" spans="1:16" ht="15">
      <c r="A231" s="87"/>
      <c r="B231" s="20"/>
      <c r="C231" s="24"/>
      <c r="D231" s="24"/>
      <c r="E231" s="24"/>
      <c r="F231" s="24"/>
      <c r="G231" s="21"/>
      <c r="H231" s="225"/>
      <c r="I231" s="30"/>
      <c r="J231" s="30"/>
      <c r="K231" s="29"/>
      <c r="L231" s="29"/>
      <c r="M231" s="29"/>
      <c r="N231" s="29"/>
      <c r="O231" s="29"/>
      <c r="P231" s="22">
        <f t="shared" si="46"/>
        <v>0</v>
      </c>
    </row>
    <row r="232" spans="1:16" ht="15.75" thickBot="1">
      <c r="A232" s="270"/>
      <c r="B232" s="271" t="s">
        <v>21</v>
      </c>
      <c r="C232" s="131">
        <f aca="true" t="shared" si="49" ref="C232:O232">C61+C70+C74+C99+C117+C135+C141+C164+C213</f>
        <v>18191792</v>
      </c>
      <c r="D232" s="131">
        <f t="shared" si="49"/>
        <v>10530107</v>
      </c>
      <c r="E232" s="131">
        <f t="shared" si="49"/>
        <v>670496</v>
      </c>
      <c r="F232" s="131">
        <f t="shared" si="49"/>
        <v>370164</v>
      </c>
      <c r="G232" s="132">
        <f t="shared" si="49"/>
        <v>253792</v>
      </c>
      <c r="H232" s="230">
        <f t="shared" si="49"/>
        <v>1305150</v>
      </c>
      <c r="I232" s="132">
        <f t="shared" si="49"/>
        <v>554885</v>
      </c>
      <c r="J232" s="132">
        <f t="shared" si="49"/>
        <v>489196</v>
      </c>
      <c r="K232" s="131">
        <f t="shared" si="49"/>
        <v>1610282</v>
      </c>
      <c r="L232" s="131">
        <f t="shared" si="49"/>
        <v>193716</v>
      </c>
      <c r="M232" s="131">
        <f t="shared" si="49"/>
        <v>218114</v>
      </c>
      <c r="N232" s="131">
        <f t="shared" si="49"/>
        <v>379838</v>
      </c>
      <c r="O232" s="131">
        <f t="shared" si="49"/>
        <v>480417</v>
      </c>
      <c r="P232" s="133">
        <f t="shared" si="46"/>
        <v>35247949</v>
      </c>
    </row>
    <row r="233" spans="1:16" ht="15">
      <c r="A233" s="71" t="s">
        <v>214</v>
      </c>
      <c r="B233" s="142" t="s">
        <v>22</v>
      </c>
      <c r="C233" s="143">
        <v>1409389</v>
      </c>
      <c r="D233" s="143"/>
      <c r="E233" s="143"/>
      <c r="F233" s="144"/>
      <c r="G233" s="143"/>
      <c r="H233" s="176">
        <v>11358</v>
      </c>
      <c r="I233" s="77"/>
      <c r="J233" s="77">
        <v>25634</v>
      </c>
      <c r="K233" s="77">
        <v>26545</v>
      </c>
      <c r="L233" s="77"/>
      <c r="M233" s="77">
        <v>11107</v>
      </c>
      <c r="N233" s="77">
        <v>26155</v>
      </c>
      <c r="O233" s="77">
        <v>18235</v>
      </c>
      <c r="P233" s="150">
        <f t="shared" si="46"/>
        <v>1528423</v>
      </c>
    </row>
    <row r="234" spans="1:16" ht="15">
      <c r="A234" s="146" t="s">
        <v>241</v>
      </c>
      <c r="B234" s="162" t="s">
        <v>454</v>
      </c>
      <c r="C234" s="143">
        <v>2000</v>
      </c>
      <c r="D234" s="143"/>
      <c r="E234" s="143"/>
      <c r="F234" s="144"/>
      <c r="G234" s="143"/>
      <c r="H234" s="77"/>
      <c r="I234" s="77"/>
      <c r="J234" s="77"/>
      <c r="K234" s="77"/>
      <c r="L234" s="77"/>
      <c r="M234" s="77"/>
      <c r="N234" s="77"/>
      <c r="O234" s="77"/>
      <c r="P234" s="150">
        <f t="shared" si="46"/>
        <v>2000</v>
      </c>
    </row>
    <row r="235" spans="2:16" ht="15">
      <c r="B235" s="2"/>
      <c r="C235" s="147"/>
      <c r="D235" s="147"/>
      <c r="E235" s="147"/>
      <c r="F235" s="148"/>
      <c r="G235" s="147"/>
      <c r="P235" s="150">
        <f t="shared" si="46"/>
        <v>0</v>
      </c>
    </row>
    <row r="236" spans="2:16" ht="29.25">
      <c r="B236" s="149" t="s">
        <v>395</v>
      </c>
      <c r="C236" s="147">
        <v>905187</v>
      </c>
      <c r="D236" s="147">
        <f>490040-2582</f>
        <v>487458</v>
      </c>
      <c r="E236" s="147"/>
      <c r="F236" s="148"/>
      <c r="G236" s="147">
        <v>5187</v>
      </c>
      <c r="H236" s="2">
        <v>4078</v>
      </c>
      <c r="K236" s="2">
        <v>153737</v>
      </c>
      <c r="L236" s="2">
        <v>13922</v>
      </c>
      <c r="N236" s="2">
        <v>1351</v>
      </c>
      <c r="O236" s="2">
        <v>3537</v>
      </c>
      <c r="P236" s="150">
        <f t="shared" si="46"/>
        <v>1574457</v>
      </c>
    </row>
    <row r="237" spans="1:16" ht="29.25">
      <c r="A237" s="238" t="s">
        <v>396</v>
      </c>
      <c r="B237" s="239" t="s">
        <v>397</v>
      </c>
      <c r="C237" s="150">
        <f aca="true" t="shared" si="50" ref="C237:O237">C46-C232-C233-C234-C236</f>
        <v>4885390</v>
      </c>
      <c r="D237" s="150">
        <f t="shared" si="50"/>
        <v>-573458</v>
      </c>
      <c r="E237" s="150">
        <f t="shared" si="50"/>
        <v>-579948</v>
      </c>
      <c r="F237" s="150">
        <f t="shared" si="50"/>
        <v>-129850</v>
      </c>
      <c r="G237" s="150">
        <f t="shared" si="50"/>
        <v>-150000</v>
      </c>
      <c r="H237" s="150">
        <f t="shared" si="50"/>
        <v>-934972</v>
      </c>
      <c r="I237" s="150">
        <f t="shared" si="50"/>
        <v>-389122</v>
      </c>
      <c r="J237" s="150">
        <f t="shared" si="50"/>
        <v>-337449</v>
      </c>
      <c r="K237" s="150">
        <f t="shared" si="50"/>
        <v>-957197</v>
      </c>
      <c r="L237" s="150">
        <f t="shared" si="50"/>
        <v>-154478</v>
      </c>
      <c r="M237" s="150">
        <f t="shared" si="50"/>
        <v>-155456</v>
      </c>
      <c r="N237" s="150">
        <f t="shared" si="50"/>
        <v>-170603</v>
      </c>
      <c r="O237" s="150">
        <f t="shared" si="50"/>
        <v>-352857</v>
      </c>
      <c r="P237" s="150">
        <f t="shared" si="46"/>
        <v>0</v>
      </c>
    </row>
    <row r="238" spans="2:16" ht="15">
      <c r="B238" s="151"/>
      <c r="C238" s="150"/>
      <c r="D238" s="150">
        <v>673405</v>
      </c>
      <c r="E238" s="150"/>
      <c r="F238" s="150"/>
      <c r="G238" s="150"/>
      <c r="H238" s="150"/>
      <c r="I238" s="249"/>
      <c r="J238" s="150"/>
      <c r="K238" s="150"/>
      <c r="L238" s="150"/>
      <c r="M238" s="150"/>
      <c r="N238" s="150"/>
      <c r="O238" s="150"/>
      <c r="P238" s="150"/>
    </row>
    <row r="239" spans="2:16" ht="15">
      <c r="B239" s="151"/>
      <c r="C239" s="150"/>
      <c r="D239" s="150">
        <v>-99947</v>
      </c>
      <c r="E239" s="150"/>
      <c r="F239" s="150"/>
      <c r="G239" s="150"/>
      <c r="H239" s="150"/>
      <c r="I239" s="249"/>
      <c r="J239" s="150"/>
      <c r="K239" s="150"/>
      <c r="L239" s="150"/>
      <c r="M239" s="150"/>
      <c r="N239" s="150"/>
      <c r="O239" s="150"/>
      <c r="P239" s="150"/>
    </row>
    <row r="240" spans="2:16" ht="15">
      <c r="B240" s="151"/>
      <c r="C240" s="150"/>
      <c r="D240" s="150"/>
      <c r="E240" s="150"/>
      <c r="F240" s="150"/>
      <c r="G240" s="150"/>
      <c r="H240" s="150"/>
      <c r="I240" s="249"/>
      <c r="J240" s="150"/>
      <c r="K240" s="150"/>
      <c r="L240" s="150"/>
      <c r="M240" s="150"/>
      <c r="N240" s="150"/>
      <c r="O240" s="150"/>
      <c r="P240" s="150"/>
    </row>
    <row r="241" spans="2:16" ht="15">
      <c r="B241" s="151"/>
      <c r="C241" s="150"/>
      <c r="D241" s="150"/>
      <c r="E241" s="150"/>
      <c r="F241" s="150"/>
      <c r="G241" s="150"/>
      <c r="H241" s="150"/>
      <c r="I241" s="249"/>
      <c r="J241" s="150"/>
      <c r="K241" s="150"/>
      <c r="L241" s="150"/>
      <c r="M241" s="150"/>
      <c r="N241" s="150"/>
      <c r="O241" s="150"/>
      <c r="P241" s="150"/>
    </row>
    <row r="242" spans="2:16" ht="15">
      <c r="B242" s="76" t="s">
        <v>23</v>
      </c>
      <c r="D242" s="4" t="s">
        <v>24</v>
      </c>
      <c r="P242" s="152"/>
    </row>
    <row r="243" spans="1:16" ht="15">
      <c r="A243" s="8"/>
      <c r="B243" s="79"/>
      <c r="C243" s="240"/>
      <c r="D243" s="144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148"/>
    </row>
    <row r="244" ht="15">
      <c r="B244" s="76"/>
    </row>
    <row r="245" spans="1:7" ht="44.25" customHeight="1" thickBot="1">
      <c r="A245" s="449" t="s">
        <v>450</v>
      </c>
      <c r="B245" s="449"/>
      <c r="C245" s="449"/>
      <c r="D245" s="449"/>
      <c r="E245" s="147"/>
      <c r="F245" s="147"/>
      <c r="G245" s="147"/>
    </row>
    <row r="246" spans="1:16" ht="86.25" thickBot="1">
      <c r="A246" s="9" t="s">
        <v>10</v>
      </c>
      <c r="B246" s="10" t="s">
        <v>153</v>
      </c>
      <c r="C246" s="11" t="s">
        <v>414</v>
      </c>
      <c r="D246" s="12" t="s">
        <v>416</v>
      </c>
      <c r="E246" s="11" t="s">
        <v>417</v>
      </c>
      <c r="F246" s="13" t="s">
        <v>418</v>
      </c>
      <c r="G246" s="11" t="s">
        <v>419</v>
      </c>
      <c r="H246" s="193" t="s">
        <v>420</v>
      </c>
      <c r="I246" s="186" t="s">
        <v>421</v>
      </c>
      <c r="J246" s="186" t="s">
        <v>422</v>
      </c>
      <c r="K246" s="186" t="s">
        <v>423</v>
      </c>
      <c r="L246" s="186" t="s">
        <v>424</v>
      </c>
      <c r="M246" s="186" t="s">
        <v>425</v>
      </c>
      <c r="N246" s="186" t="s">
        <v>426</v>
      </c>
      <c r="O246" s="187" t="s">
        <v>427</v>
      </c>
      <c r="P246" s="14" t="s">
        <v>428</v>
      </c>
    </row>
    <row r="247" spans="1:16" ht="15">
      <c r="A247" s="153">
        <v>1100</v>
      </c>
      <c r="B247" s="154" t="s">
        <v>232</v>
      </c>
      <c r="C247" s="155">
        <v>5715287</v>
      </c>
      <c r="D247" s="155">
        <v>1474680</v>
      </c>
      <c r="E247" s="155">
        <v>281361</v>
      </c>
      <c r="F247" s="155">
        <v>157110</v>
      </c>
      <c r="G247" s="155">
        <v>36358</v>
      </c>
      <c r="H247" s="177">
        <v>510926</v>
      </c>
      <c r="I247" s="157">
        <v>204115</v>
      </c>
      <c r="J247" s="157">
        <v>188116</v>
      </c>
      <c r="K247" s="157">
        <f>759238-763</f>
        <v>758475</v>
      </c>
      <c r="L247" s="155">
        <v>63657</v>
      </c>
      <c r="M247" s="155">
        <v>94005</v>
      </c>
      <c r="N247" s="155">
        <v>71357</v>
      </c>
      <c r="O247" s="157">
        <v>204441</v>
      </c>
      <c r="P247" s="156">
        <f aca="true" t="shared" si="51" ref="P247:P267">SUM(C247:O247)</f>
        <v>9759888</v>
      </c>
    </row>
    <row r="248" spans="1:16" ht="57.75">
      <c r="A248" s="36">
        <v>1200</v>
      </c>
      <c r="B248" s="20" t="s">
        <v>398</v>
      </c>
      <c r="C248" s="28">
        <v>1732448</v>
      </c>
      <c r="D248" s="28">
        <v>357293</v>
      </c>
      <c r="E248" s="28">
        <v>82045</v>
      </c>
      <c r="F248" s="28">
        <v>42932</v>
      </c>
      <c r="G248" s="28">
        <v>9144</v>
      </c>
      <c r="H248" s="178">
        <v>152032</v>
      </c>
      <c r="I248" s="159">
        <v>64209</v>
      </c>
      <c r="J248" s="159">
        <v>62710</v>
      </c>
      <c r="K248" s="159">
        <f>229824+5</f>
        <v>229829</v>
      </c>
      <c r="L248" s="28">
        <v>18240</v>
      </c>
      <c r="M248" s="28">
        <v>29761</v>
      </c>
      <c r="N248" s="28">
        <v>21575</v>
      </c>
      <c r="O248" s="159">
        <v>65561</v>
      </c>
      <c r="P248" s="158">
        <f t="shared" si="51"/>
        <v>2867779</v>
      </c>
    </row>
    <row r="249" spans="1:16" ht="15">
      <c r="A249" s="36">
        <v>2000</v>
      </c>
      <c r="B249" s="20" t="s">
        <v>215</v>
      </c>
      <c r="C249" s="28">
        <f aca="true" t="shared" si="52" ref="C249:N249">SUM(C250:C255)</f>
        <v>3299065</v>
      </c>
      <c r="D249" s="28">
        <f t="shared" si="52"/>
        <v>6930667</v>
      </c>
      <c r="E249" s="28">
        <f t="shared" si="52"/>
        <v>292002</v>
      </c>
      <c r="F249" s="28">
        <f t="shared" si="52"/>
        <v>158180</v>
      </c>
      <c r="G249" s="28">
        <f t="shared" si="52"/>
        <v>40483</v>
      </c>
      <c r="H249" s="159">
        <f>SUM(H250:H255)</f>
        <v>516151</v>
      </c>
      <c r="I249" s="159">
        <f>SUM(I250:I255)</f>
        <v>213190</v>
      </c>
      <c r="J249" s="159">
        <f>SUM(J250:J255)</f>
        <v>204401</v>
      </c>
      <c r="K249" s="159">
        <f>SUM(K250:K255)</f>
        <v>487860</v>
      </c>
      <c r="L249" s="28">
        <f t="shared" si="52"/>
        <v>86519</v>
      </c>
      <c r="M249" s="28">
        <f t="shared" si="52"/>
        <v>70948</v>
      </c>
      <c r="N249" s="28">
        <f t="shared" si="52"/>
        <v>67135</v>
      </c>
      <c r="O249" s="159">
        <f>SUM(O250:O255)</f>
        <v>128572</v>
      </c>
      <c r="P249" s="158">
        <f t="shared" si="51"/>
        <v>12495173</v>
      </c>
    </row>
    <row r="250" spans="1:16" ht="29.25">
      <c r="A250" s="36">
        <v>2100</v>
      </c>
      <c r="B250" s="20" t="s">
        <v>399</v>
      </c>
      <c r="C250" s="28">
        <v>16738</v>
      </c>
      <c r="D250" s="28">
        <v>4000</v>
      </c>
      <c r="E250" s="28">
        <v>4160</v>
      </c>
      <c r="F250" s="28"/>
      <c r="G250" s="28">
        <v>2636</v>
      </c>
      <c r="H250" s="178">
        <v>970</v>
      </c>
      <c r="I250" s="159">
        <v>310</v>
      </c>
      <c r="J250" s="159">
        <v>120</v>
      </c>
      <c r="K250" s="159">
        <f>280+250</f>
        <v>530</v>
      </c>
      <c r="L250" s="28">
        <v>15</v>
      </c>
      <c r="M250" s="28">
        <v>275</v>
      </c>
      <c r="N250" s="226">
        <v>450</v>
      </c>
      <c r="O250" s="159">
        <v>188</v>
      </c>
      <c r="P250" s="158">
        <f t="shared" si="51"/>
        <v>30392</v>
      </c>
    </row>
    <row r="251" spans="1:16" ht="15">
      <c r="A251" s="36">
        <v>2200</v>
      </c>
      <c r="B251" s="20" t="s">
        <v>216</v>
      </c>
      <c r="C251" s="28">
        <f>2591316-10425-10000</f>
        <v>2570891</v>
      </c>
      <c r="D251" s="28">
        <v>3214267</v>
      </c>
      <c r="E251" s="28">
        <v>193490</v>
      </c>
      <c r="F251" s="28">
        <v>134088</v>
      </c>
      <c r="G251" s="28">
        <v>33247</v>
      </c>
      <c r="H251" s="178">
        <v>318299</v>
      </c>
      <c r="I251" s="159">
        <v>78811</v>
      </c>
      <c r="J251" s="159">
        <f>100558+2496</f>
        <v>103054</v>
      </c>
      <c r="K251" s="254">
        <f>188709+5123</f>
        <v>193832</v>
      </c>
      <c r="L251" s="28">
        <v>47520</v>
      </c>
      <c r="M251" s="28">
        <v>38580</v>
      </c>
      <c r="N251" s="226">
        <v>29425</v>
      </c>
      <c r="O251" s="159">
        <v>75457</v>
      </c>
      <c r="P251" s="158">
        <f t="shared" si="51"/>
        <v>7030961</v>
      </c>
    </row>
    <row r="252" spans="1:16" ht="43.5">
      <c r="A252" s="36">
        <v>2300</v>
      </c>
      <c r="B252" s="20" t="s">
        <v>217</v>
      </c>
      <c r="C252" s="28">
        <v>658041</v>
      </c>
      <c r="D252" s="28">
        <v>3668545</v>
      </c>
      <c r="E252" s="28">
        <v>85952</v>
      </c>
      <c r="F252" s="28">
        <v>16050</v>
      </c>
      <c r="G252" s="28">
        <v>4300</v>
      </c>
      <c r="H252" s="178">
        <v>187003</v>
      </c>
      <c r="I252" s="159">
        <v>127744</v>
      </c>
      <c r="J252" s="159">
        <v>98987</v>
      </c>
      <c r="K252" s="254">
        <f>285792-721</f>
        <v>285071</v>
      </c>
      <c r="L252" s="28">
        <v>38134</v>
      </c>
      <c r="M252" s="28">
        <v>30020</v>
      </c>
      <c r="N252" s="226">
        <v>36610</v>
      </c>
      <c r="O252" s="159">
        <v>49975</v>
      </c>
      <c r="P252" s="158">
        <f t="shared" si="51"/>
        <v>5286432</v>
      </c>
    </row>
    <row r="253" spans="1:16" ht="15">
      <c r="A253" s="36">
        <v>2400</v>
      </c>
      <c r="B253" s="20" t="s">
        <v>218</v>
      </c>
      <c r="C253" s="28">
        <v>3950</v>
      </c>
      <c r="D253" s="28"/>
      <c r="E253" s="28"/>
      <c r="F253" s="28"/>
      <c r="G253" s="28"/>
      <c r="H253" s="178">
        <v>1869</v>
      </c>
      <c r="I253" s="159">
        <v>600</v>
      </c>
      <c r="J253" s="159">
        <v>500</v>
      </c>
      <c r="K253" s="159">
        <v>848</v>
      </c>
      <c r="L253" s="28">
        <v>350</v>
      </c>
      <c r="M253" s="28">
        <v>360</v>
      </c>
      <c r="N253" s="28">
        <v>500</v>
      </c>
      <c r="O253" s="159">
        <v>850</v>
      </c>
      <c r="P253" s="158">
        <f t="shared" si="51"/>
        <v>9827</v>
      </c>
    </row>
    <row r="254" spans="1:16" ht="15">
      <c r="A254" s="36">
        <v>2500</v>
      </c>
      <c r="B254" s="20" t="s">
        <v>219</v>
      </c>
      <c r="C254" s="28">
        <v>28445</v>
      </c>
      <c r="D254" s="28">
        <v>43855</v>
      </c>
      <c r="E254" s="28">
        <v>8400</v>
      </c>
      <c r="F254" s="28">
        <v>8042</v>
      </c>
      <c r="G254" s="28">
        <v>300</v>
      </c>
      <c r="H254" s="178">
        <v>8010</v>
      </c>
      <c r="I254" s="159">
        <v>5725</v>
      </c>
      <c r="J254" s="159">
        <v>1740</v>
      </c>
      <c r="K254" s="159">
        <f>7514+65</f>
        <v>7579</v>
      </c>
      <c r="L254" s="28">
        <v>500</v>
      </c>
      <c r="M254" s="28">
        <v>1713</v>
      </c>
      <c r="N254" s="28">
        <v>150</v>
      </c>
      <c r="O254" s="159">
        <v>2102</v>
      </c>
      <c r="P254" s="158">
        <f t="shared" si="51"/>
        <v>116561</v>
      </c>
    </row>
    <row r="255" spans="1:16" ht="43.5">
      <c r="A255" s="36">
        <v>2800</v>
      </c>
      <c r="B255" s="20" t="s">
        <v>400</v>
      </c>
      <c r="C255" s="28">
        <v>21000</v>
      </c>
      <c r="D255" s="28"/>
      <c r="E255" s="28"/>
      <c r="F255" s="28"/>
      <c r="G255" s="28"/>
      <c r="H255" s="178"/>
      <c r="I255" s="159"/>
      <c r="J255" s="159"/>
      <c r="K255" s="159"/>
      <c r="L255" s="28"/>
      <c r="M255" s="28"/>
      <c r="N255" s="28"/>
      <c r="O255" s="159"/>
      <c r="P255" s="158">
        <f t="shared" si="51"/>
        <v>21000</v>
      </c>
    </row>
    <row r="256" spans="1:16" ht="29.25">
      <c r="A256" s="36">
        <v>3200</v>
      </c>
      <c r="B256" s="20" t="s">
        <v>401</v>
      </c>
      <c r="C256" s="28">
        <v>68486</v>
      </c>
      <c r="D256" s="28"/>
      <c r="E256" s="28"/>
      <c r="F256" s="28"/>
      <c r="G256" s="28"/>
      <c r="H256" s="178"/>
      <c r="I256" s="159"/>
      <c r="J256" s="159"/>
      <c r="K256" s="159"/>
      <c r="L256" s="28"/>
      <c r="M256" s="28"/>
      <c r="N256" s="28"/>
      <c r="O256" s="159"/>
      <c r="P256" s="158">
        <f t="shared" si="51"/>
        <v>68486</v>
      </c>
    </row>
    <row r="257" spans="1:16" ht="29.25">
      <c r="A257" s="36">
        <v>4200</v>
      </c>
      <c r="B257" s="20" t="s">
        <v>220</v>
      </c>
      <c r="C257" s="28"/>
      <c r="D257" s="28"/>
      <c r="E257" s="28"/>
      <c r="F257" s="28"/>
      <c r="G257" s="28"/>
      <c r="H257" s="178"/>
      <c r="I257" s="159"/>
      <c r="J257" s="159"/>
      <c r="K257" s="159"/>
      <c r="L257" s="28"/>
      <c r="M257" s="28"/>
      <c r="N257" s="28"/>
      <c r="O257" s="159"/>
      <c r="P257" s="158">
        <f t="shared" si="51"/>
        <v>0</v>
      </c>
    </row>
    <row r="258" spans="1:16" ht="15">
      <c r="A258" s="36">
        <v>4300</v>
      </c>
      <c r="B258" s="20" t="s">
        <v>221</v>
      </c>
      <c r="C258" s="28">
        <v>345269</v>
      </c>
      <c r="D258" s="28"/>
      <c r="E258" s="28"/>
      <c r="F258" s="28"/>
      <c r="G258" s="28"/>
      <c r="H258" s="178">
        <v>1961</v>
      </c>
      <c r="I258" s="159">
        <v>640</v>
      </c>
      <c r="J258" s="159">
        <v>10160</v>
      </c>
      <c r="K258" s="159">
        <v>9907</v>
      </c>
      <c r="L258" s="28"/>
      <c r="M258" s="28">
        <v>3600</v>
      </c>
      <c r="N258" s="28">
        <v>3215</v>
      </c>
      <c r="O258" s="159">
        <v>11325</v>
      </c>
      <c r="P258" s="158">
        <f t="shared" si="51"/>
        <v>386077</v>
      </c>
    </row>
    <row r="259" spans="1:16" ht="15">
      <c r="A259" s="36">
        <v>5100</v>
      </c>
      <c r="B259" s="20" t="s">
        <v>142</v>
      </c>
      <c r="C259" s="28">
        <v>17130</v>
      </c>
      <c r="D259" s="28">
        <v>495</v>
      </c>
      <c r="E259" s="28">
        <v>1908</v>
      </c>
      <c r="F259" s="28">
        <v>1850</v>
      </c>
      <c r="G259" s="28"/>
      <c r="H259" s="178">
        <v>600</v>
      </c>
      <c r="I259" s="159"/>
      <c r="J259" s="159">
        <v>200</v>
      </c>
      <c r="K259" s="159">
        <v>221</v>
      </c>
      <c r="L259" s="28"/>
      <c r="M259" s="28">
        <v>400</v>
      </c>
      <c r="N259" s="28"/>
      <c r="O259" s="159">
        <v>605</v>
      </c>
      <c r="P259" s="158">
        <f t="shared" si="51"/>
        <v>23409</v>
      </c>
    </row>
    <row r="260" spans="1:16" ht="15">
      <c r="A260" s="36">
        <v>5200</v>
      </c>
      <c r="B260" s="20" t="s">
        <v>222</v>
      </c>
      <c r="C260" s="28">
        <f>5891306+10425+10000</f>
        <v>5911731</v>
      </c>
      <c r="D260" s="28">
        <v>1766972</v>
      </c>
      <c r="E260" s="28">
        <v>13180</v>
      </c>
      <c r="F260" s="28">
        <v>10092</v>
      </c>
      <c r="G260" s="28">
        <v>167807</v>
      </c>
      <c r="H260" s="178">
        <v>77375</v>
      </c>
      <c r="I260" s="159">
        <f>37011+7300</f>
        <v>44311</v>
      </c>
      <c r="J260" s="159">
        <v>2789</v>
      </c>
      <c r="K260" s="159">
        <f>17616+14323+28316</f>
        <v>60255</v>
      </c>
      <c r="L260" s="28">
        <v>2750</v>
      </c>
      <c r="M260" s="28">
        <v>600</v>
      </c>
      <c r="N260" s="28">
        <v>200636</v>
      </c>
      <c r="O260" s="159">
        <v>33456</v>
      </c>
      <c r="P260" s="158">
        <f t="shared" si="51"/>
        <v>8291954</v>
      </c>
    </row>
    <row r="261" spans="1:16" ht="15">
      <c r="A261" s="36">
        <v>6200</v>
      </c>
      <c r="B261" s="20" t="s">
        <v>223</v>
      </c>
      <c r="C261" s="28">
        <v>279500</v>
      </c>
      <c r="D261" s="28"/>
      <c r="E261" s="28"/>
      <c r="F261" s="28"/>
      <c r="G261" s="28"/>
      <c r="H261" s="178">
        <v>30900</v>
      </c>
      <c r="I261" s="159">
        <v>21920</v>
      </c>
      <c r="J261" s="159">
        <v>17100</v>
      </c>
      <c r="K261" s="159">
        <v>33675</v>
      </c>
      <c r="L261" s="28">
        <v>9250</v>
      </c>
      <c r="M261" s="28">
        <v>15800</v>
      </c>
      <c r="N261" s="28">
        <v>12220</v>
      </c>
      <c r="O261" s="159">
        <v>15000</v>
      </c>
      <c r="P261" s="158">
        <f t="shared" si="51"/>
        <v>435365</v>
      </c>
    </row>
    <row r="262" spans="1:16" ht="15">
      <c r="A262" s="36">
        <v>6300</v>
      </c>
      <c r="B262" s="20" t="s">
        <v>224</v>
      </c>
      <c r="C262" s="28">
        <v>421300</v>
      </c>
      <c r="D262" s="28"/>
      <c r="E262" s="28"/>
      <c r="F262" s="28"/>
      <c r="G262" s="28"/>
      <c r="H262" s="178">
        <v>5300</v>
      </c>
      <c r="I262" s="159">
        <v>6500</v>
      </c>
      <c r="J262" s="159">
        <v>3670</v>
      </c>
      <c r="K262" s="159">
        <v>10960</v>
      </c>
      <c r="L262" s="28">
        <v>800</v>
      </c>
      <c r="M262" s="28">
        <v>1500</v>
      </c>
      <c r="N262" s="28">
        <v>1700</v>
      </c>
      <c r="O262" s="159">
        <v>3500</v>
      </c>
      <c r="P262" s="158">
        <f t="shared" si="51"/>
        <v>455230</v>
      </c>
    </row>
    <row r="263" spans="1:16" ht="29.25">
      <c r="A263" s="36">
        <v>6400</v>
      </c>
      <c r="B263" s="20" t="s">
        <v>402</v>
      </c>
      <c r="C263" s="28">
        <v>111000</v>
      </c>
      <c r="D263" s="28"/>
      <c r="E263" s="28"/>
      <c r="F263" s="28"/>
      <c r="G263" s="28"/>
      <c r="H263" s="178">
        <v>9785</v>
      </c>
      <c r="I263" s="159"/>
      <c r="J263" s="159"/>
      <c r="K263" s="159">
        <f>19100-3100</f>
        <v>16000</v>
      </c>
      <c r="L263" s="28">
        <v>12500</v>
      </c>
      <c r="M263" s="28">
        <v>1500</v>
      </c>
      <c r="N263" s="28">
        <v>2000</v>
      </c>
      <c r="O263" s="159">
        <v>17957</v>
      </c>
      <c r="P263" s="158">
        <f t="shared" si="51"/>
        <v>170742</v>
      </c>
    </row>
    <row r="264" spans="1:16" ht="29.25">
      <c r="A264" s="36">
        <v>7200</v>
      </c>
      <c r="B264" s="20" t="s">
        <v>403</v>
      </c>
      <c r="C264" s="28">
        <v>290576</v>
      </c>
      <c r="D264" s="28"/>
      <c r="E264" s="28"/>
      <c r="F264" s="28"/>
      <c r="G264" s="28"/>
      <c r="H264" s="178"/>
      <c r="I264" s="159"/>
      <c r="J264" s="159"/>
      <c r="K264" s="159">
        <v>3100</v>
      </c>
      <c r="L264" s="28"/>
      <c r="M264" s="28"/>
      <c r="N264" s="28"/>
      <c r="O264" s="159"/>
      <c r="P264" s="158">
        <f t="shared" si="51"/>
        <v>293676</v>
      </c>
    </row>
    <row r="265" spans="1:16" ht="15">
      <c r="A265" s="36">
        <v>8100</v>
      </c>
      <c r="B265" s="28" t="s">
        <v>226</v>
      </c>
      <c r="C265" s="28"/>
      <c r="D265" s="28"/>
      <c r="E265" s="28"/>
      <c r="F265" s="28"/>
      <c r="G265" s="28"/>
      <c r="H265" s="178">
        <v>120</v>
      </c>
      <c r="I265" s="159"/>
      <c r="J265" s="159">
        <v>50</v>
      </c>
      <c r="K265" s="159"/>
      <c r="L265" s="28"/>
      <c r="M265" s="28"/>
      <c r="N265" s="28"/>
      <c r="O265" s="178"/>
      <c r="P265" s="158">
        <f t="shared" si="51"/>
        <v>170</v>
      </c>
    </row>
    <row r="266" spans="1:16" ht="15.75" thickBot="1">
      <c r="A266" s="184">
        <v>9000</v>
      </c>
      <c r="B266" s="251" t="s">
        <v>451</v>
      </c>
      <c r="C266" s="252"/>
      <c r="D266" s="252"/>
      <c r="E266" s="252"/>
      <c r="F266" s="252"/>
      <c r="G266" s="252"/>
      <c r="H266" s="253"/>
      <c r="I266" s="253"/>
      <c r="J266" s="253"/>
      <c r="K266" s="253"/>
      <c r="L266" s="252"/>
      <c r="M266" s="252"/>
      <c r="N266" s="252"/>
      <c r="O266" s="253"/>
      <c r="P266" s="158">
        <f t="shared" si="51"/>
        <v>0</v>
      </c>
    </row>
    <row r="267" spans="1:16" ht="15.75" thickBot="1">
      <c r="A267" s="141"/>
      <c r="B267" s="172" t="s">
        <v>225</v>
      </c>
      <c r="C267" s="191">
        <f aca="true" t="shared" si="53" ref="C267:O267">SUM(C247:C249,C256:C266)</f>
        <v>18191792</v>
      </c>
      <c r="D267" s="191">
        <f t="shared" si="53"/>
        <v>10530107</v>
      </c>
      <c r="E267" s="191">
        <f t="shared" si="53"/>
        <v>670496</v>
      </c>
      <c r="F267" s="191">
        <f t="shared" si="53"/>
        <v>370164</v>
      </c>
      <c r="G267" s="191">
        <f t="shared" si="53"/>
        <v>253792</v>
      </c>
      <c r="H267" s="191">
        <f t="shared" si="53"/>
        <v>1305150</v>
      </c>
      <c r="I267" s="191">
        <f t="shared" si="53"/>
        <v>554885</v>
      </c>
      <c r="J267" s="191">
        <f t="shared" si="53"/>
        <v>489196</v>
      </c>
      <c r="K267" s="191">
        <f t="shared" si="53"/>
        <v>1610282</v>
      </c>
      <c r="L267" s="191">
        <f t="shared" si="53"/>
        <v>193716</v>
      </c>
      <c r="M267" s="191">
        <f t="shared" si="53"/>
        <v>218114</v>
      </c>
      <c r="N267" s="191">
        <f t="shared" si="53"/>
        <v>379838</v>
      </c>
      <c r="O267" s="191">
        <f t="shared" si="53"/>
        <v>480417</v>
      </c>
      <c r="P267" s="160">
        <f t="shared" si="51"/>
        <v>35247949</v>
      </c>
    </row>
    <row r="268" spans="2:7" ht="15">
      <c r="B268" s="161"/>
      <c r="C268" s="8"/>
      <c r="D268" s="148"/>
      <c r="E268" s="147"/>
      <c r="F268" s="147"/>
      <c r="G268" s="147"/>
    </row>
    <row r="269" spans="2:16" ht="15">
      <c r="B269" s="161"/>
      <c r="C269" s="8"/>
      <c r="D269" s="148"/>
      <c r="E269" s="147"/>
      <c r="F269" s="147"/>
      <c r="G269" s="147"/>
      <c r="P269" s="145"/>
    </row>
    <row r="270" spans="2:7" ht="15">
      <c r="B270" s="76" t="s">
        <v>23</v>
      </c>
      <c r="C270" s="8"/>
      <c r="D270" s="148"/>
      <c r="E270" s="147" t="s">
        <v>24</v>
      </c>
      <c r="F270" s="147"/>
      <c r="G270" s="147"/>
    </row>
    <row r="275" ht="15">
      <c r="B275" s="76"/>
    </row>
  </sheetData>
  <sheetProtection/>
  <mergeCells count="9">
    <mergeCell ref="A5:D5"/>
    <mergeCell ref="A245:D245"/>
    <mergeCell ref="A59:D59"/>
    <mergeCell ref="C1:P1"/>
    <mergeCell ref="C2:P2"/>
    <mergeCell ref="C3:P3"/>
    <mergeCell ref="C55:P55"/>
    <mergeCell ref="C56:P56"/>
    <mergeCell ref="C57:P57"/>
  </mergeCells>
  <printOptions/>
  <pageMargins left="0.7874015748031497" right="0.15748031496062992" top="0.7874015748031497" bottom="0.787401574803149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0.140625" style="273" customWidth="1"/>
    <col min="2" max="2" width="36.7109375" style="274" customWidth="1"/>
    <col min="3" max="3" width="10.28125" style="273" customWidth="1"/>
    <col min="4" max="4" width="9.7109375" style="273" customWidth="1"/>
    <col min="5" max="5" width="10.00390625" style="273" bestFit="1" customWidth="1"/>
    <col min="6" max="6" width="9.7109375" style="273" customWidth="1"/>
    <col min="7" max="7" width="10.7109375" style="273" customWidth="1"/>
    <col min="8" max="11" width="9.7109375" style="273" bestFit="1" customWidth="1"/>
    <col min="12" max="12" width="12.7109375" style="278" customWidth="1"/>
    <col min="13" max="16384" width="9.140625" style="273" customWidth="1"/>
  </cols>
  <sheetData>
    <row r="1" spans="3:14" ht="14.25">
      <c r="C1" s="457" t="s">
        <v>459</v>
      </c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2" spans="1:14" ht="14.25">
      <c r="A2" s="275"/>
      <c r="C2" s="458" t="s">
        <v>460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ht="14.25">
      <c r="A3" s="275"/>
      <c r="C3" s="458" t="s">
        <v>458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</row>
    <row r="4" spans="1:11" ht="21" thickBot="1">
      <c r="A4" s="276" t="s">
        <v>461</v>
      </c>
      <c r="B4" s="276"/>
      <c r="C4" s="276"/>
      <c r="J4" s="277"/>
      <c r="K4" s="277"/>
    </row>
    <row r="5" spans="1:12" ht="83.25" customHeight="1" thickBot="1">
      <c r="A5" s="279" t="s">
        <v>10</v>
      </c>
      <c r="B5" s="280" t="s">
        <v>9</v>
      </c>
      <c r="C5" s="11" t="s">
        <v>414</v>
      </c>
      <c r="D5" s="281" t="s">
        <v>420</v>
      </c>
      <c r="E5" s="282" t="s">
        <v>421</v>
      </c>
      <c r="F5" s="186" t="s">
        <v>422</v>
      </c>
      <c r="G5" s="186" t="s">
        <v>423</v>
      </c>
      <c r="H5" s="186" t="s">
        <v>424</v>
      </c>
      <c r="I5" s="186" t="s">
        <v>425</v>
      </c>
      <c r="J5" s="186" t="s">
        <v>426</v>
      </c>
      <c r="K5" s="187" t="s">
        <v>427</v>
      </c>
      <c r="L5" s="283" t="s">
        <v>428</v>
      </c>
    </row>
    <row r="6" spans="1:13" ht="15">
      <c r="A6" s="284"/>
      <c r="B6" s="285" t="s">
        <v>25</v>
      </c>
      <c r="C6" s="286">
        <f>C7</f>
        <v>34467</v>
      </c>
      <c r="D6" s="286">
        <f aca="true" t="shared" si="0" ref="D6:K6">D7</f>
        <v>2500</v>
      </c>
      <c r="E6" s="286">
        <f t="shared" si="0"/>
        <v>4000</v>
      </c>
      <c r="F6" s="286">
        <f t="shared" si="0"/>
        <v>1200</v>
      </c>
      <c r="G6" s="286">
        <f t="shared" si="0"/>
        <v>2000</v>
      </c>
      <c r="H6" s="286">
        <f t="shared" si="0"/>
        <v>300</v>
      </c>
      <c r="I6" s="286">
        <f t="shared" si="0"/>
        <v>300</v>
      </c>
      <c r="J6" s="286">
        <f t="shared" si="0"/>
        <v>200</v>
      </c>
      <c r="K6" s="286">
        <f t="shared" si="0"/>
        <v>600</v>
      </c>
      <c r="L6" s="287">
        <f aca="true" t="shared" si="1" ref="L6:L19">SUM(C6:K6)</f>
        <v>45567</v>
      </c>
      <c r="M6" s="288"/>
    </row>
    <row r="7" spans="1:12" ht="14.25">
      <c r="A7" s="289" t="s">
        <v>462</v>
      </c>
      <c r="B7" s="290" t="s">
        <v>463</v>
      </c>
      <c r="C7" s="291">
        <v>34467</v>
      </c>
      <c r="D7" s="291">
        <v>2500</v>
      </c>
      <c r="E7" s="291">
        <v>4000</v>
      </c>
      <c r="F7" s="291">
        <v>1200</v>
      </c>
      <c r="G7" s="291">
        <v>2000</v>
      </c>
      <c r="H7" s="291">
        <v>300</v>
      </c>
      <c r="I7" s="291">
        <v>300</v>
      </c>
      <c r="J7" s="291">
        <v>200</v>
      </c>
      <c r="K7" s="291">
        <v>600</v>
      </c>
      <c r="L7" s="292">
        <f t="shared" si="1"/>
        <v>45567</v>
      </c>
    </row>
    <row r="8" spans="1:12" ht="15">
      <c r="A8" s="293"/>
      <c r="B8" s="294" t="s">
        <v>34</v>
      </c>
      <c r="C8" s="295">
        <f aca="true" t="shared" si="2" ref="C8:K8">SUM(C9:C10)</f>
        <v>120</v>
      </c>
      <c r="D8" s="296">
        <f t="shared" si="2"/>
        <v>0</v>
      </c>
      <c r="E8" s="296">
        <f t="shared" si="2"/>
        <v>0</v>
      </c>
      <c r="F8" s="296">
        <f t="shared" si="2"/>
        <v>0</v>
      </c>
      <c r="G8" s="296">
        <f t="shared" si="2"/>
        <v>0</v>
      </c>
      <c r="H8" s="296">
        <f t="shared" si="2"/>
        <v>5000</v>
      </c>
      <c r="I8" s="296">
        <f t="shared" si="2"/>
        <v>0</v>
      </c>
      <c r="J8" s="295">
        <f t="shared" si="2"/>
        <v>0</v>
      </c>
      <c r="K8" s="296">
        <f t="shared" si="2"/>
        <v>0</v>
      </c>
      <c r="L8" s="287">
        <f t="shared" si="1"/>
        <v>5120</v>
      </c>
    </row>
    <row r="9" spans="1:12" ht="28.5">
      <c r="A9" s="289" t="s">
        <v>464</v>
      </c>
      <c r="B9" s="290" t="s">
        <v>465</v>
      </c>
      <c r="C9" s="291">
        <v>120</v>
      </c>
      <c r="D9" s="297"/>
      <c r="E9" s="298"/>
      <c r="F9" s="299"/>
      <c r="G9" s="299"/>
      <c r="H9" s="299"/>
      <c r="I9" s="299"/>
      <c r="J9" s="299"/>
      <c r="K9" s="300"/>
      <c r="L9" s="292">
        <f>SUM(C9:K9)</f>
        <v>120</v>
      </c>
    </row>
    <row r="10" spans="1:12" ht="14.25">
      <c r="A10" s="289" t="s">
        <v>466</v>
      </c>
      <c r="B10" s="290" t="s">
        <v>467</v>
      </c>
      <c r="C10" s="291"/>
      <c r="D10" s="297"/>
      <c r="E10" s="298"/>
      <c r="F10" s="299"/>
      <c r="G10" s="299"/>
      <c r="H10" s="299">
        <v>5000</v>
      </c>
      <c r="I10" s="299"/>
      <c r="J10" s="299"/>
      <c r="K10" s="300"/>
      <c r="L10" s="292">
        <f t="shared" si="1"/>
        <v>5000</v>
      </c>
    </row>
    <row r="11" spans="1:12" s="278" customFormat="1" ht="45">
      <c r="A11" s="301" t="s">
        <v>468</v>
      </c>
      <c r="B11" s="302" t="s">
        <v>469</v>
      </c>
      <c r="C11" s="303">
        <v>423847</v>
      </c>
      <c r="D11" s="304"/>
      <c r="E11" s="305"/>
      <c r="F11" s="306"/>
      <c r="G11" s="307"/>
      <c r="H11" s="306"/>
      <c r="I11" s="306"/>
      <c r="J11" s="307"/>
      <c r="K11" s="306"/>
      <c r="L11" s="287">
        <f t="shared" si="1"/>
        <v>423847</v>
      </c>
    </row>
    <row r="12" spans="1:12" ht="15">
      <c r="A12" s="308" t="s">
        <v>44</v>
      </c>
      <c r="B12" s="294" t="s">
        <v>45</v>
      </c>
      <c r="C12" s="295">
        <f aca="true" t="shared" si="3" ref="C12:K12">SUM(C13,C16)</f>
        <v>0</v>
      </c>
      <c r="D12" s="295">
        <f t="shared" si="3"/>
        <v>0</v>
      </c>
      <c r="E12" s="295">
        <f t="shared" si="3"/>
        <v>0</v>
      </c>
      <c r="F12" s="295">
        <f t="shared" si="3"/>
        <v>0</v>
      </c>
      <c r="G12" s="295">
        <f t="shared" si="3"/>
        <v>0</v>
      </c>
      <c r="H12" s="295">
        <f t="shared" si="3"/>
        <v>0</v>
      </c>
      <c r="I12" s="295">
        <f t="shared" si="3"/>
        <v>0</v>
      </c>
      <c r="J12" s="295">
        <f t="shared" si="3"/>
        <v>0</v>
      </c>
      <c r="K12" s="295">
        <f t="shared" si="3"/>
        <v>0</v>
      </c>
      <c r="L12" s="287">
        <f t="shared" si="1"/>
        <v>0</v>
      </c>
    </row>
    <row r="13" spans="1:12" ht="60">
      <c r="A13" s="308" t="s">
        <v>46</v>
      </c>
      <c r="B13" s="31" t="s">
        <v>250</v>
      </c>
      <c r="C13" s="295">
        <f aca="true" t="shared" si="4" ref="C13:K13">SUM(C14:C15)</f>
        <v>0</v>
      </c>
      <c r="D13" s="295">
        <f t="shared" si="4"/>
        <v>0</v>
      </c>
      <c r="E13" s="295">
        <f t="shared" si="4"/>
        <v>0</v>
      </c>
      <c r="F13" s="295">
        <f t="shared" si="4"/>
        <v>0</v>
      </c>
      <c r="G13" s="295">
        <f t="shared" si="4"/>
        <v>0</v>
      </c>
      <c r="H13" s="295">
        <f t="shared" si="4"/>
        <v>0</v>
      </c>
      <c r="I13" s="295">
        <f t="shared" si="4"/>
        <v>0</v>
      </c>
      <c r="J13" s="295">
        <f t="shared" si="4"/>
        <v>0</v>
      </c>
      <c r="K13" s="295">
        <f t="shared" si="4"/>
        <v>0</v>
      </c>
      <c r="L13" s="287">
        <f t="shared" si="1"/>
        <v>0</v>
      </c>
    </row>
    <row r="14" spans="1:12" ht="57.75">
      <c r="A14" s="309" t="s">
        <v>167</v>
      </c>
      <c r="B14" s="290" t="s">
        <v>168</v>
      </c>
      <c r="C14" s="310"/>
      <c r="D14" s="295"/>
      <c r="E14" s="295"/>
      <c r="F14" s="295"/>
      <c r="G14" s="291"/>
      <c r="H14" s="295"/>
      <c r="I14" s="295"/>
      <c r="J14" s="295"/>
      <c r="K14" s="295"/>
      <c r="L14" s="292">
        <f>SUM(C14:K14)</f>
        <v>0</v>
      </c>
    </row>
    <row r="15" spans="1:12" ht="14.25">
      <c r="A15" s="309" t="s">
        <v>47</v>
      </c>
      <c r="B15" s="290" t="s">
        <v>48</v>
      </c>
      <c r="C15" s="291"/>
      <c r="D15" s="297"/>
      <c r="E15" s="311"/>
      <c r="F15" s="299"/>
      <c r="G15" s="299"/>
      <c r="H15" s="299"/>
      <c r="I15" s="299"/>
      <c r="J15" s="299"/>
      <c r="K15" s="300"/>
      <c r="L15" s="292">
        <f t="shared" si="1"/>
        <v>0</v>
      </c>
    </row>
    <row r="16" spans="1:12" s="320" customFormat="1" ht="30.75" thickBot="1">
      <c r="A16" s="312" t="s">
        <v>470</v>
      </c>
      <c r="B16" s="313" t="s">
        <v>50</v>
      </c>
      <c r="C16" s="314"/>
      <c r="D16" s="315"/>
      <c r="E16" s="316"/>
      <c r="F16" s="317"/>
      <c r="G16" s="317"/>
      <c r="H16" s="317"/>
      <c r="I16" s="317"/>
      <c r="J16" s="317"/>
      <c r="K16" s="318"/>
      <c r="L16" s="319">
        <f t="shared" si="1"/>
        <v>0</v>
      </c>
    </row>
    <row r="17" spans="1:14" ht="18.75" customHeight="1" thickBot="1">
      <c r="A17" s="321"/>
      <c r="B17" s="322" t="s">
        <v>51</v>
      </c>
      <c r="C17" s="323">
        <f aca="true" t="shared" si="5" ref="C17:K17">SUM(C6+C8+C11+C12)</f>
        <v>458434</v>
      </c>
      <c r="D17" s="323">
        <f t="shared" si="5"/>
        <v>2500</v>
      </c>
      <c r="E17" s="323">
        <f t="shared" si="5"/>
        <v>4000</v>
      </c>
      <c r="F17" s="323">
        <f t="shared" si="5"/>
        <v>1200</v>
      </c>
      <c r="G17" s="323">
        <f t="shared" si="5"/>
        <v>2000</v>
      </c>
      <c r="H17" s="323">
        <f t="shared" si="5"/>
        <v>5300</v>
      </c>
      <c r="I17" s="323">
        <f t="shared" si="5"/>
        <v>300</v>
      </c>
      <c r="J17" s="323">
        <f t="shared" si="5"/>
        <v>200</v>
      </c>
      <c r="K17" s="323">
        <f t="shared" si="5"/>
        <v>600</v>
      </c>
      <c r="L17" s="324">
        <f t="shared" si="1"/>
        <v>474534</v>
      </c>
      <c r="M17" s="288"/>
      <c r="N17" s="325"/>
    </row>
    <row r="18" spans="1:12" ht="14.25">
      <c r="A18" s="326" t="s">
        <v>471</v>
      </c>
      <c r="B18" s="327" t="s">
        <v>430</v>
      </c>
      <c r="C18" s="328">
        <v>20415</v>
      </c>
      <c r="D18" s="328">
        <v>14821</v>
      </c>
      <c r="E18" s="328">
        <v>1759</v>
      </c>
      <c r="F18" s="328">
        <v>1266</v>
      </c>
      <c r="G18" s="328">
        <v>10692</v>
      </c>
      <c r="H18" s="328">
        <v>21137</v>
      </c>
      <c r="I18" s="328">
        <v>271</v>
      </c>
      <c r="J18" s="328">
        <v>954</v>
      </c>
      <c r="K18" s="328">
        <v>4257</v>
      </c>
      <c r="L18" s="292">
        <f t="shared" si="1"/>
        <v>75572</v>
      </c>
    </row>
    <row r="19" spans="1:12" ht="15">
      <c r="A19" s="329"/>
      <c r="B19" s="330" t="s">
        <v>54</v>
      </c>
      <c r="C19" s="331">
        <f aca="true" t="shared" si="6" ref="C19:K19">SUM(C17:C18)</f>
        <v>478849</v>
      </c>
      <c r="D19" s="331">
        <f t="shared" si="6"/>
        <v>17321</v>
      </c>
      <c r="E19" s="331">
        <f t="shared" si="6"/>
        <v>5759</v>
      </c>
      <c r="F19" s="331">
        <f t="shared" si="6"/>
        <v>2466</v>
      </c>
      <c r="G19" s="331">
        <f t="shared" si="6"/>
        <v>12692</v>
      </c>
      <c r="H19" s="331">
        <f t="shared" si="6"/>
        <v>26437</v>
      </c>
      <c r="I19" s="331">
        <f t="shared" si="6"/>
        <v>571</v>
      </c>
      <c r="J19" s="331">
        <f t="shared" si="6"/>
        <v>1154</v>
      </c>
      <c r="K19" s="331">
        <f t="shared" si="6"/>
        <v>4857</v>
      </c>
      <c r="L19" s="287">
        <f t="shared" si="1"/>
        <v>550106</v>
      </c>
    </row>
    <row r="20" spans="2:5" ht="15">
      <c r="B20" s="332"/>
      <c r="E20" s="333"/>
    </row>
    <row r="21" ht="15">
      <c r="B21" s="273"/>
    </row>
    <row r="22" spans="1:5" ht="15">
      <c r="A22" s="332"/>
      <c r="B22" s="272"/>
      <c r="E22" s="333"/>
    </row>
    <row r="23" spans="1:5" ht="15">
      <c r="A23" s="459" t="s">
        <v>23</v>
      </c>
      <c r="B23" s="460"/>
      <c r="E23" s="333" t="s">
        <v>24</v>
      </c>
    </row>
    <row r="24" spans="1:5" ht="15">
      <c r="A24" s="332"/>
      <c r="B24" s="272"/>
      <c r="E24" s="333"/>
    </row>
    <row r="25" spans="1:5" ht="15">
      <c r="A25" s="332"/>
      <c r="B25" s="272"/>
      <c r="E25" s="333"/>
    </row>
    <row r="26" spans="1:5" ht="15">
      <c r="A26" s="332"/>
      <c r="B26" s="272"/>
      <c r="E26" s="333"/>
    </row>
    <row r="27" spans="1:5" ht="48" customHeight="1" thickBot="1">
      <c r="A27" s="461" t="s">
        <v>472</v>
      </c>
      <c r="B27" s="461"/>
      <c r="C27" s="461"/>
      <c r="D27" s="461"/>
      <c r="E27" s="461"/>
    </row>
    <row r="28" spans="1:12" ht="81.75" customHeight="1" thickBot="1">
      <c r="A28" s="279" t="s">
        <v>10</v>
      </c>
      <c r="B28" s="280" t="s">
        <v>9</v>
      </c>
      <c r="C28" s="11" t="s">
        <v>414</v>
      </c>
      <c r="D28" s="281" t="s">
        <v>420</v>
      </c>
      <c r="E28" s="282" t="s">
        <v>421</v>
      </c>
      <c r="F28" s="186" t="s">
        <v>422</v>
      </c>
      <c r="G28" s="186" t="s">
        <v>423</v>
      </c>
      <c r="H28" s="186" t="s">
        <v>424</v>
      </c>
      <c r="I28" s="186" t="s">
        <v>425</v>
      </c>
      <c r="J28" s="186" t="s">
        <v>426</v>
      </c>
      <c r="K28" s="187" t="s">
        <v>427</v>
      </c>
      <c r="L28" s="283" t="s">
        <v>428</v>
      </c>
    </row>
    <row r="29" spans="1:12" ht="15.75" thickBot="1">
      <c r="A29" s="334" t="s">
        <v>1</v>
      </c>
      <c r="B29" s="335" t="s">
        <v>70</v>
      </c>
      <c r="C29" s="336">
        <v>260450</v>
      </c>
      <c r="D29" s="336">
        <v>28471</v>
      </c>
      <c r="E29" s="336">
        <v>17911</v>
      </c>
      <c r="F29" s="336">
        <v>21240</v>
      </c>
      <c r="G29" s="336">
        <v>28790</v>
      </c>
      <c r="H29" s="336">
        <v>17921</v>
      </c>
      <c r="I29" s="336"/>
      <c r="J29" s="336">
        <v>13948</v>
      </c>
      <c r="K29" s="336">
        <v>21982</v>
      </c>
      <c r="L29" s="324">
        <f aca="true" t="shared" si="7" ref="L29:L35">SUM(C29:K29)</f>
        <v>410713</v>
      </c>
    </row>
    <row r="30" spans="1:12" ht="15.75" thickBot="1">
      <c r="A30" s="334" t="s">
        <v>18</v>
      </c>
      <c r="B30" s="337" t="s">
        <v>83</v>
      </c>
      <c r="C30" s="336">
        <v>46628</v>
      </c>
      <c r="D30" s="336">
        <v>8639</v>
      </c>
      <c r="E30" s="336">
        <v>5714</v>
      </c>
      <c r="F30" s="336"/>
      <c r="G30" s="336">
        <v>12607</v>
      </c>
      <c r="H30" s="336"/>
      <c r="I30" s="336">
        <v>363</v>
      </c>
      <c r="J30" s="336"/>
      <c r="K30" s="336">
        <v>1011</v>
      </c>
      <c r="L30" s="324">
        <f>SUM(C30:K30)</f>
        <v>74962</v>
      </c>
    </row>
    <row r="31" spans="1:12" ht="30.75" thickBot="1">
      <c r="A31" s="334" t="s">
        <v>3</v>
      </c>
      <c r="B31" s="337" t="s">
        <v>88</v>
      </c>
      <c r="C31" s="336"/>
      <c r="D31" s="336">
        <v>5182</v>
      </c>
      <c r="E31" s="336">
        <v>400</v>
      </c>
      <c r="F31" s="336">
        <v>1200</v>
      </c>
      <c r="G31" s="336">
        <v>85</v>
      </c>
      <c r="H31" s="336"/>
      <c r="I31" s="336">
        <v>19568</v>
      </c>
      <c r="J31" s="336"/>
      <c r="K31" s="336"/>
      <c r="L31" s="324">
        <f t="shared" si="7"/>
        <v>26435</v>
      </c>
    </row>
    <row r="32" spans="1:12" ht="15.75" thickBot="1">
      <c r="A32" s="334" t="s">
        <v>114</v>
      </c>
      <c r="B32" s="337" t="s">
        <v>0</v>
      </c>
      <c r="C32" s="338"/>
      <c r="D32" s="336"/>
      <c r="E32" s="336"/>
      <c r="F32" s="336"/>
      <c r="G32" s="336"/>
      <c r="H32" s="336"/>
      <c r="I32" s="336"/>
      <c r="J32" s="336"/>
      <c r="K32" s="336"/>
      <c r="L32" s="324">
        <f t="shared" si="7"/>
        <v>0</v>
      </c>
    </row>
    <row r="33" spans="1:14" ht="15.75" thickBot="1">
      <c r="A33" s="339"/>
      <c r="B33" s="340" t="s">
        <v>21</v>
      </c>
      <c r="C33" s="336">
        <f>SUM(C29:C31)</f>
        <v>307078</v>
      </c>
      <c r="D33" s="336">
        <f>SUM(D29:D32)</f>
        <v>42292</v>
      </c>
      <c r="E33" s="336">
        <f aca="true" t="shared" si="8" ref="E33:K33">SUM(E29:E31)</f>
        <v>24025</v>
      </c>
      <c r="F33" s="336">
        <f t="shared" si="8"/>
        <v>22440</v>
      </c>
      <c r="G33" s="336">
        <f t="shared" si="8"/>
        <v>41482</v>
      </c>
      <c r="H33" s="336">
        <f t="shared" si="8"/>
        <v>17921</v>
      </c>
      <c r="I33" s="336">
        <f t="shared" si="8"/>
        <v>19931</v>
      </c>
      <c r="J33" s="336">
        <f t="shared" si="8"/>
        <v>13948</v>
      </c>
      <c r="K33" s="336">
        <f t="shared" si="8"/>
        <v>22993</v>
      </c>
      <c r="L33" s="324">
        <f t="shared" si="7"/>
        <v>512110</v>
      </c>
      <c r="M33" s="288"/>
      <c r="N33" s="325"/>
    </row>
    <row r="34" spans="1:12" ht="15">
      <c r="A34" s="341" t="s">
        <v>473</v>
      </c>
      <c r="B34" s="342" t="s">
        <v>22</v>
      </c>
      <c r="C34" s="343"/>
      <c r="D34" s="344"/>
      <c r="L34" s="345">
        <f t="shared" si="7"/>
        <v>0</v>
      </c>
    </row>
    <row r="35" spans="1:12" ht="15">
      <c r="A35" s="273" t="s">
        <v>471</v>
      </c>
      <c r="B35" s="346" t="s">
        <v>474</v>
      </c>
      <c r="C35" s="325">
        <v>8329</v>
      </c>
      <c r="D35" s="273">
        <v>3500</v>
      </c>
      <c r="F35" s="273">
        <v>1266</v>
      </c>
      <c r="H35" s="273">
        <v>21575</v>
      </c>
      <c r="I35" s="273">
        <v>208</v>
      </c>
      <c r="J35" s="273">
        <v>1118</v>
      </c>
      <c r="K35" s="273">
        <v>2000</v>
      </c>
      <c r="L35" s="345">
        <f t="shared" si="7"/>
        <v>37996</v>
      </c>
    </row>
    <row r="36" spans="2:12" ht="15">
      <c r="B36" s="346"/>
      <c r="C36" s="325"/>
      <c r="L36" s="345"/>
    </row>
    <row r="37" spans="1:12" ht="29.25">
      <c r="A37" s="238" t="s">
        <v>396</v>
      </c>
      <c r="B37" s="347" t="s">
        <v>397</v>
      </c>
      <c r="C37" s="348">
        <f aca="true" t="shared" si="9" ref="C37:L37">C19-C35-C33-C34</f>
        <v>163442</v>
      </c>
      <c r="D37" s="348">
        <f t="shared" si="9"/>
        <v>-28471</v>
      </c>
      <c r="E37" s="348">
        <f t="shared" si="9"/>
        <v>-18266</v>
      </c>
      <c r="F37" s="348">
        <f t="shared" si="9"/>
        <v>-21240</v>
      </c>
      <c r="G37" s="348">
        <f t="shared" si="9"/>
        <v>-28790</v>
      </c>
      <c r="H37" s="348">
        <f t="shared" si="9"/>
        <v>-13059</v>
      </c>
      <c r="I37" s="348">
        <f t="shared" si="9"/>
        <v>-19568</v>
      </c>
      <c r="J37" s="348">
        <f t="shared" si="9"/>
        <v>-13912</v>
      </c>
      <c r="K37" s="348">
        <f t="shared" si="9"/>
        <v>-20136</v>
      </c>
      <c r="L37" s="348">
        <f t="shared" si="9"/>
        <v>0</v>
      </c>
    </row>
    <row r="38" spans="1:12" ht="15">
      <c r="A38" s="238"/>
      <c r="B38" s="347"/>
      <c r="C38" s="348"/>
      <c r="D38" s="348"/>
      <c r="E38" s="348"/>
      <c r="F38" s="348"/>
      <c r="G38" s="348"/>
      <c r="H38" s="348"/>
      <c r="I38" s="348"/>
      <c r="J38" s="348"/>
      <c r="K38" s="348"/>
      <c r="L38" s="348"/>
    </row>
    <row r="39" spans="1:12" ht="15">
      <c r="A39" s="238"/>
      <c r="B39" s="347"/>
      <c r="C39" s="348"/>
      <c r="D39" s="348"/>
      <c r="E39" s="348"/>
      <c r="F39" s="348"/>
      <c r="G39" s="348"/>
      <c r="H39" s="348"/>
      <c r="I39" s="348"/>
      <c r="J39" s="348"/>
      <c r="K39" s="348"/>
      <c r="L39" s="348"/>
    </row>
    <row r="40" spans="2:5" ht="29.25">
      <c r="B40" s="332" t="s">
        <v>23</v>
      </c>
      <c r="E40" s="333" t="s">
        <v>24</v>
      </c>
    </row>
    <row r="41" spans="2:5" ht="15">
      <c r="B41" s="332"/>
      <c r="E41" s="333"/>
    </row>
    <row r="42" spans="1:6" ht="66" customHeight="1" thickBot="1">
      <c r="A42" s="462" t="s">
        <v>450</v>
      </c>
      <c r="B42" s="462"/>
      <c r="C42" s="462"/>
      <c r="D42" s="462"/>
      <c r="E42" s="462"/>
      <c r="F42" s="462"/>
    </row>
    <row r="43" spans="1:12" ht="87.75" customHeight="1" thickBot="1">
      <c r="A43" s="279" t="s">
        <v>10</v>
      </c>
      <c r="B43" s="280" t="s">
        <v>9</v>
      </c>
      <c r="C43" s="11" t="s">
        <v>414</v>
      </c>
      <c r="D43" s="281" t="s">
        <v>420</v>
      </c>
      <c r="E43" s="282" t="s">
        <v>421</v>
      </c>
      <c r="F43" s="186" t="s">
        <v>422</v>
      </c>
      <c r="G43" s="186" t="s">
        <v>423</v>
      </c>
      <c r="H43" s="186" t="s">
        <v>424</v>
      </c>
      <c r="I43" s="186" t="s">
        <v>425</v>
      </c>
      <c r="J43" s="186" t="s">
        <v>426</v>
      </c>
      <c r="K43" s="187" t="s">
        <v>427</v>
      </c>
      <c r="L43" s="283" t="s">
        <v>428</v>
      </c>
    </row>
    <row r="44" spans="1:12" ht="15">
      <c r="A44" s="349">
        <v>1100</v>
      </c>
      <c r="B44" s="350" t="s">
        <v>475</v>
      </c>
      <c r="C44" s="351">
        <v>6586</v>
      </c>
      <c r="D44" s="351">
        <v>6837</v>
      </c>
      <c r="E44" s="351">
        <v>1500</v>
      </c>
      <c r="F44" s="351">
        <v>6340</v>
      </c>
      <c r="G44" s="351"/>
      <c r="H44" s="351"/>
      <c r="I44" s="351">
        <v>3600</v>
      </c>
      <c r="J44" s="351">
        <v>3500</v>
      </c>
      <c r="K44" s="352">
        <v>6600</v>
      </c>
      <c r="L44" s="353">
        <f>SUM(C44:K44)</f>
        <v>34963</v>
      </c>
    </row>
    <row r="45" spans="1:12" ht="60.75" thickBot="1">
      <c r="A45" s="354">
        <v>1200</v>
      </c>
      <c r="B45" s="355" t="s">
        <v>476</v>
      </c>
      <c r="C45" s="317">
        <v>1587</v>
      </c>
      <c r="D45" s="317">
        <v>1647</v>
      </c>
      <c r="E45" s="317">
        <v>361</v>
      </c>
      <c r="F45" s="317">
        <v>1927</v>
      </c>
      <c r="G45" s="317"/>
      <c r="H45" s="317"/>
      <c r="I45" s="317">
        <v>967</v>
      </c>
      <c r="J45" s="317">
        <v>843</v>
      </c>
      <c r="K45" s="318">
        <v>1835</v>
      </c>
      <c r="L45" s="356">
        <f>SUM(C45:K45)</f>
        <v>9167</v>
      </c>
    </row>
    <row r="46" spans="1:12" ht="15.75" thickBot="1">
      <c r="A46" s="357">
        <v>2000</v>
      </c>
      <c r="B46" s="358" t="s">
        <v>215</v>
      </c>
      <c r="C46" s="359">
        <f aca="true" t="shared" si="10" ref="C46:H46">SUM(C47+C48+C49+C50)</f>
        <v>295405</v>
      </c>
      <c r="D46" s="359">
        <f t="shared" si="10"/>
        <v>27308</v>
      </c>
      <c r="E46" s="359">
        <f t="shared" si="10"/>
        <v>22164</v>
      </c>
      <c r="F46" s="359">
        <f t="shared" si="10"/>
        <v>13273</v>
      </c>
      <c r="G46" s="359">
        <f t="shared" si="10"/>
        <v>34188</v>
      </c>
      <c r="H46" s="359">
        <f t="shared" si="10"/>
        <v>17621</v>
      </c>
      <c r="I46" s="359">
        <f>I47+I48+I49+I50</f>
        <v>15364</v>
      </c>
      <c r="J46" s="359">
        <f>SUM(J47+J48+J49+J50)</f>
        <v>9605</v>
      </c>
      <c r="K46" s="360">
        <f>SUM(K47+K48+K49+K50)</f>
        <v>12558</v>
      </c>
      <c r="L46" s="361">
        <f>SUM(L47:L50)</f>
        <v>447486</v>
      </c>
    </row>
    <row r="47" spans="1:12" ht="15">
      <c r="A47" s="362">
        <v>2200</v>
      </c>
      <c r="B47" s="363" t="s">
        <v>216</v>
      </c>
      <c r="C47" s="364">
        <v>295405</v>
      </c>
      <c r="D47" s="364">
        <v>16769</v>
      </c>
      <c r="E47" s="364">
        <v>15100</v>
      </c>
      <c r="F47" s="364">
        <v>600</v>
      </c>
      <c r="G47" s="364">
        <v>18105</v>
      </c>
      <c r="H47" s="364">
        <v>17621</v>
      </c>
      <c r="I47" s="364">
        <v>15064</v>
      </c>
      <c r="J47" s="364">
        <v>2500</v>
      </c>
      <c r="K47" s="365">
        <v>4681</v>
      </c>
      <c r="L47" s="366">
        <f aca="true" t="shared" si="11" ref="L47:L54">SUM(C47:K47)</f>
        <v>385845</v>
      </c>
    </row>
    <row r="48" spans="1:12" ht="45">
      <c r="A48" s="367">
        <v>2300</v>
      </c>
      <c r="B48" s="368" t="s">
        <v>217</v>
      </c>
      <c r="C48" s="369"/>
      <c r="D48" s="369">
        <v>10539</v>
      </c>
      <c r="E48" s="369">
        <v>7064</v>
      </c>
      <c r="F48" s="369">
        <v>12673</v>
      </c>
      <c r="G48" s="369">
        <v>15983</v>
      </c>
      <c r="H48" s="369"/>
      <c r="I48" s="369">
        <v>300</v>
      </c>
      <c r="J48" s="369">
        <v>7105</v>
      </c>
      <c r="K48" s="370">
        <v>7877</v>
      </c>
      <c r="L48" s="371">
        <f t="shared" si="11"/>
        <v>61541</v>
      </c>
    </row>
    <row r="49" spans="1:12" ht="15">
      <c r="A49" s="367">
        <v>2400</v>
      </c>
      <c r="B49" s="368" t="s">
        <v>218</v>
      </c>
      <c r="C49" s="369"/>
      <c r="D49" s="369"/>
      <c r="E49" s="369"/>
      <c r="F49" s="369"/>
      <c r="G49" s="369"/>
      <c r="H49" s="369"/>
      <c r="I49" s="369"/>
      <c r="J49" s="369"/>
      <c r="K49" s="370"/>
      <c r="L49" s="372">
        <f t="shared" si="11"/>
        <v>0</v>
      </c>
    </row>
    <row r="50" spans="1:12" ht="30">
      <c r="A50" s="367">
        <v>2500</v>
      </c>
      <c r="B50" s="368" t="s">
        <v>219</v>
      </c>
      <c r="C50" s="369"/>
      <c r="D50" s="369"/>
      <c r="E50" s="369"/>
      <c r="F50" s="369"/>
      <c r="G50" s="369">
        <v>100</v>
      </c>
      <c r="H50" s="369"/>
      <c r="I50" s="369"/>
      <c r="J50" s="369"/>
      <c r="K50" s="370"/>
      <c r="L50" s="372">
        <f t="shared" si="11"/>
        <v>100</v>
      </c>
    </row>
    <row r="51" spans="1:12" ht="45">
      <c r="A51" s="367">
        <v>3200</v>
      </c>
      <c r="B51" s="368" t="s">
        <v>477</v>
      </c>
      <c r="C51" s="373">
        <v>3500</v>
      </c>
      <c r="D51" s="369"/>
      <c r="E51" s="369"/>
      <c r="F51" s="369"/>
      <c r="G51" s="369"/>
      <c r="H51" s="369"/>
      <c r="I51" s="369"/>
      <c r="J51" s="369"/>
      <c r="K51" s="370"/>
      <c r="L51" s="372">
        <f t="shared" si="11"/>
        <v>3500</v>
      </c>
    </row>
    <row r="52" spans="1:12" ht="15">
      <c r="A52" s="367">
        <v>5100</v>
      </c>
      <c r="B52" s="368" t="s">
        <v>142</v>
      </c>
      <c r="C52" s="369"/>
      <c r="D52" s="369"/>
      <c r="E52" s="369"/>
      <c r="F52" s="369"/>
      <c r="G52" s="369"/>
      <c r="H52" s="369"/>
      <c r="I52" s="369"/>
      <c r="J52" s="369"/>
      <c r="K52" s="370"/>
      <c r="L52" s="372">
        <f>SUM(C52:K52)</f>
        <v>0</v>
      </c>
    </row>
    <row r="53" spans="1:12" ht="15">
      <c r="A53" s="367">
        <v>5200</v>
      </c>
      <c r="B53" s="368" t="s">
        <v>222</v>
      </c>
      <c r="C53" s="369"/>
      <c r="D53" s="369">
        <v>6500</v>
      </c>
      <c r="E53" s="369"/>
      <c r="F53" s="369">
        <v>900</v>
      </c>
      <c r="G53" s="369">
        <v>7294</v>
      </c>
      <c r="H53" s="369">
        <v>300</v>
      </c>
      <c r="I53" s="369"/>
      <c r="J53" s="369"/>
      <c r="K53" s="370">
        <v>2000</v>
      </c>
      <c r="L53" s="372">
        <f t="shared" si="11"/>
        <v>16994</v>
      </c>
    </row>
    <row r="54" spans="1:12" ht="30.75" customHeight="1" thickBot="1">
      <c r="A54" s="367">
        <v>7200</v>
      </c>
      <c r="B54" s="374" t="s">
        <v>478</v>
      </c>
      <c r="C54" s="375"/>
      <c r="D54" s="376"/>
      <c r="E54" s="376"/>
      <c r="F54" s="376"/>
      <c r="G54" s="376"/>
      <c r="H54" s="376"/>
      <c r="I54" s="376"/>
      <c r="J54" s="376"/>
      <c r="K54" s="377"/>
      <c r="L54" s="372">
        <f t="shared" si="11"/>
        <v>0</v>
      </c>
    </row>
    <row r="55" spans="1:12" ht="15.75" thickBot="1">
      <c r="A55" s="378"/>
      <c r="B55" s="379" t="s">
        <v>225</v>
      </c>
      <c r="C55" s="359">
        <f aca="true" t="shared" si="12" ref="C55:L55">SUM(C44:C46,C51:C54)</f>
        <v>307078</v>
      </c>
      <c r="D55" s="359">
        <f t="shared" si="12"/>
        <v>42292</v>
      </c>
      <c r="E55" s="359">
        <f t="shared" si="12"/>
        <v>24025</v>
      </c>
      <c r="F55" s="359">
        <f t="shared" si="12"/>
        <v>22440</v>
      </c>
      <c r="G55" s="359">
        <f t="shared" si="12"/>
        <v>41482</v>
      </c>
      <c r="H55" s="359">
        <f t="shared" si="12"/>
        <v>17921</v>
      </c>
      <c r="I55" s="359">
        <f t="shared" si="12"/>
        <v>19931</v>
      </c>
      <c r="J55" s="359">
        <f t="shared" si="12"/>
        <v>13948</v>
      </c>
      <c r="K55" s="360">
        <f t="shared" si="12"/>
        <v>22993</v>
      </c>
      <c r="L55" s="361">
        <f t="shared" si="12"/>
        <v>512110</v>
      </c>
    </row>
    <row r="56" ht="15">
      <c r="B56" s="273"/>
    </row>
    <row r="57" ht="15">
      <c r="B57" s="273"/>
    </row>
    <row r="58" spans="1:5" ht="15">
      <c r="A58" s="454" t="s">
        <v>23</v>
      </c>
      <c r="B58" s="455"/>
      <c r="C58" s="343"/>
      <c r="D58" s="344"/>
      <c r="E58" s="333" t="s">
        <v>24</v>
      </c>
    </row>
    <row r="65" spans="1:3" ht="20.25">
      <c r="A65" s="456"/>
      <c r="B65" s="456"/>
      <c r="C65" s="456"/>
    </row>
    <row r="66" spans="1:3" ht="15">
      <c r="A66" s="275"/>
      <c r="B66" s="380"/>
      <c r="C66" s="275"/>
    </row>
    <row r="67" spans="1:4" ht="15">
      <c r="A67" s="381"/>
      <c r="B67" s="382"/>
      <c r="C67" s="383"/>
      <c r="D67" s="288"/>
    </row>
    <row r="68" spans="1:3" ht="15">
      <c r="A68" s="381"/>
      <c r="B68" s="382"/>
      <c r="C68" s="384"/>
    </row>
    <row r="69" ht="15">
      <c r="B69" s="332"/>
    </row>
    <row r="70" ht="15">
      <c r="B70" s="332"/>
    </row>
    <row r="71" ht="15">
      <c r="B71" s="332"/>
    </row>
    <row r="72" spans="1:2" ht="15">
      <c r="A72" s="381"/>
      <c r="B72" s="382"/>
    </row>
    <row r="73" spans="1:2" ht="15">
      <c r="A73" s="381"/>
      <c r="B73" s="382"/>
    </row>
    <row r="74" spans="1:2" ht="15">
      <c r="A74" s="385"/>
      <c r="B74" s="386"/>
    </row>
  </sheetData>
  <sheetProtection/>
  <mergeCells count="8">
    <mergeCell ref="A58:B58"/>
    <mergeCell ref="A65:C65"/>
    <mergeCell ref="C1:N1"/>
    <mergeCell ref="C2:N2"/>
    <mergeCell ref="C3:N3"/>
    <mergeCell ref="A23:B23"/>
    <mergeCell ref="A27:E27"/>
    <mergeCell ref="A42:F42"/>
  </mergeCells>
  <printOptions/>
  <pageMargins left="0.7874015748031497" right="0.551181102362204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421875" style="388" customWidth="1"/>
    <col min="2" max="2" width="14.57421875" style="388" customWidth="1"/>
    <col min="3" max="3" width="13.421875" style="388" customWidth="1"/>
    <col min="4" max="4" width="12.28125" style="388" customWidth="1"/>
    <col min="5" max="5" width="13.00390625" style="388" customWidth="1"/>
    <col min="6" max="6" width="13.421875" style="388" hidden="1" customWidth="1"/>
    <col min="7" max="7" width="12.00390625" style="388" customWidth="1"/>
    <col min="8" max="16384" width="9.140625" style="388" customWidth="1"/>
  </cols>
  <sheetData>
    <row r="1" spans="1:6" ht="18.75" customHeight="1">
      <c r="A1" s="464" t="s">
        <v>479</v>
      </c>
      <c r="B1" s="464"/>
      <c r="C1" s="464"/>
      <c r="D1" s="464"/>
      <c r="E1" s="464"/>
      <c r="F1" s="464"/>
    </row>
    <row r="2" spans="1:6" ht="18.75" customHeight="1">
      <c r="A2" s="464" t="s">
        <v>480</v>
      </c>
      <c r="B2" s="464"/>
      <c r="C2" s="464"/>
      <c r="D2" s="464"/>
      <c r="E2" s="464"/>
      <c r="F2" s="464"/>
    </row>
    <row r="3" spans="1:6" ht="18.75" customHeight="1">
      <c r="A3" s="468" t="s">
        <v>481</v>
      </c>
      <c r="B3" s="468"/>
      <c r="C3" s="468"/>
      <c r="D3" s="468"/>
      <c r="E3" s="468"/>
      <c r="F3" s="469"/>
    </row>
    <row r="4" spans="1:6" ht="36.75" customHeight="1">
      <c r="A4" s="465" t="s">
        <v>482</v>
      </c>
      <c r="B4" s="465" t="s">
        <v>483</v>
      </c>
      <c r="C4" s="465" t="s">
        <v>463</v>
      </c>
      <c r="D4" s="465" t="s">
        <v>484</v>
      </c>
      <c r="E4" s="470" t="s">
        <v>485</v>
      </c>
      <c r="F4" s="389"/>
    </row>
    <row r="5" spans="1:5" ht="18" customHeight="1">
      <c r="A5" s="466"/>
      <c r="B5" s="466"/>
      <c r="C5" s="466"/>
      <c r="D5" s="466"/>
      <c r="E5" s="470"/>
    </row>
    <row r="6" spans="1:5" ht="18" customHeight="1">
      <c r="A6" s="390" t="s">
        <v>486</v>
      </c>
      <c r="B6" s="391">
        <v>260445</v>
      </c>
      <c r="C6" s="391">
        <v>34547</v>
      </c>
      <c r="D6" s="391"/>
      <c r="E6" s="391">
        <f aca="true" t="shared" si="0" ref="E6:E16">SUM(B6:D6)</f>
        <v>294992</v>
      </c>
    </row>
    <row r="7" spans="1:5" ht="24" customHeight="1">
      <c r="A7" s="392" t="s">
        <v>487</v>
      </c>
      <c r="B7" s="393">
        <v>5</v>
      </c>
      <c r="C7" s="394">
        <v>20410</v>
      </c>
      <c r="D7" s="393"/>
      <c r="E7" s="395">
        <f t="shared" si="0"/>
        <v>20415</v>
      </c>
    </row>
    <row r="8" spans="1:5" s="396" customFormat="1" ht="15.75">
      <c r="A8" s="390" t="s">
        <v>488</v>
      </c>
      <c r="B8" s="391">
        <f>SUM(B6:B7)</f>
        <v>260450</v>
      </c>
      <c r="C8" s="391">
        <f>SUM(C6:C7)</f>
        <v>54957</v>
      </c>
      <c r="D8" s="391">
        <f>SUM(D6:D7)</f>
        <v>0</v>
      </c>
      <c r="E8" s="391">
        <f t="shared" si="0"/>
        <v>315407</v>
      </c>
    </row>
    <row r="9" spans="1:5" ht="15.75">
      <c r="A9" s="397" t="s">
        <v>489</v>
      </c>
      <c r="B9" s="398">
        <f>SUM(B10:B16)</f>
        <v>260450</v>
      </c>
      <c r="C9" s="398">
        <f>SUM(C10:C16)</f>
        <v>46628</v>
      </c>
      <c r="D9" s="398">
        <f>SUM(D10:D16)</f>
        <v>0</v>
      </c>
      <c r="E9" s="398">
        <f t="shared" si="0"/>
        <v>307078</v>
      </c>
    </row>
    <row r="10" spans="1:5" ht="15.75">
      <c r="A10" s="399" t="s">
        <v>490</v>
      </c>
      <c r="B10" s="400">
        <v>6586</v>
      </c>
      <c r="C10" s="400"/>
      <c r="D10" s="401"/>
      <c r="E10" s="402">
        <f t="shared" si="0"/>
        <v>6586</v>
      </c>
    </row>
    <row r="11" spans="1:5" ht="15.75">
      <c r="A11" s="399" t="s">
        <v>491</v>
      </c>
      <c r="B11" s="400">
        <v>1587</v>
      </c>
      <c r="C11" s="400"/>
      <c r="D11" s="401"/>
      <c r="E11" s="402">
        <f t="shared" si="0"/>
        <v>1587</v>
      </c>
    </row>
    <row r="12" spans="1:5" ht="15.75">
      <c r="A12" s="399">
        <v>2200</v>
      </c>
      <c r="B12" s="400">
        <v>252277</v>
      </c>
      <c r="C12" s="400">
        <v>43128</v>
      </c>
      <c r="D12" s="401"/>
      <c r="E12" s="402">
        <f t="shared" si="0"/>
        <v>295405</v>
      </c>
    </row>
    <row r="13" spans="1:5" ht="15.75">
      <c r="A13" s="399">
        <v>2300</v>
      </c>
      <c r="B13" s="403"/>
      <c r="C13" s="400"/>
      <c r="D13" s="404"/>
      <c r="E13" s="402">
        <f t="shared" si="0"/>
        <v>0</v>
      </c>
    </row>
    <row r="14" spans="1:5" ht="15.75">
      <c r="A14" s="399">
        <v>2500</v>
      </c>
      <c r="B14" s="403"/>
      <c r="C14" s="400"/>
      <c r="D14" s="404"/>
      <c r="E14" s="402">
        <f t="shared" si="0"/>
        <v>0</v>
      </c>
    </row>
    <row r="15" spans="1:5" ht="15.75">
      <c r="A15" s="399">
        <v>3200</v>
      </c>
      <c r="B15" s="403"/>
      <c r="C15" s="400">
        <v>3500</v>
      </c>
      <c r="D15" s="404"/>
      <c r="E15" s="402">
        <f t="shared" si="0"/>
        <v>3500</v>
      </c>
    </row>
    <row r="16" spans="1:5" ht="15.75">
      <c r="A16" s="399">
        <v>5200</v>
      </c>
      <c r="B16" s="403"/>
      <c r="C16" s="403"/>
      <c r="D16" s="404"/>
      <c r="E16" s="402">
        <f t="shared" si="0"/>
        <v>0</v>
      </c>
    </row>
    <row r="17" spans="1:5" ht="15.75">
      <c r="A17" s="405" t="s">
        <v>492</v>
      </c>
      <c r="B17" s="406">
        <f>B8-B9</f>
        <v>0</v>
      </c>
      <c r="C17" s="406">
        <f>C8-C9</f>
        <v>8329</v>
      </c>
      <c r="D17" s="406">
        <f>D8-D9</f>
        <v>0</v>
      </c>
      <c r="E17" s="406">
        <f>E8-E9</f>
        <v>8329</v>
      </c>
    </row>
    <row r="21" spans="1:5" ht="15.75">
      <c r="A21" s="407" t="s">
        <v>493</v>
      </c>
      <c r="E21" s="407" t="s">
        <v>494</v>
      </c>
    </row>
    <row r="22" spans="1:5" ht="15.75">
      <c r="A22" s="407"/>
      <c r="E22" s="407"/>
    </row>
    <row r="23" spans="1:5" ht="15.75">
      <c r="A23" s="407"/>
      <c r="E23" s="407"/>
    </row>
    <row r="24" spans="1:6" ht="18.75">
      <c r="A24" s="464" t="s">
        <v>495</v>
      </c>
      <c r="B24" s="464"/>
      <c r="C24" s="464"/>
      <c r="D24" s="464"/>
      <c r="E24" s="464"/>
      <c r="F24" s="464"/>
    </row>
    <row r="25" spans="1:6" ht="18.75">
      <c r="A25" s="464" t="s">
        <v>496</v>
      </c>
      <c r="B25" s="464"/>
      <c r="C25" s="464"/>
      <c r="D25" s="464"/>
      <c r="E25" s="464"/>
      <c r="F25" s="464"/>
    </row>
    <row r="26" spans="1:6" ht="18.75">
      <c r="A26" s="387"/>
      <c r="B26" s="387"/>
      <c r="C26" s="387"/>
      <c r="D26" s="387"/>
      <c r="E26" s="387"/>
      <c r="F26" s="387"/>
    </row>
    <row r="27" spans="1:6" ht="12.75" customHeight="1">
      <c r="A27" s="465" t="s">
        <v>482</v>
      </c>
      <c r="B27" s="465" t="s">
        <v>483</v>
      </c>
      <c r="C27" s="465" t="s">
        <v>463</v>
      </c>
      <c r="D27" s="465" t="s">
        <v>484</v>
      </c>
      <c r="E27" s="465" t="s">
        <v>497</v>
      </c>
      <c r="F27" s="408"/>
    </row>
    <row r="28" spans="1:6" ht="17.25" customHeight="1">
      <c r="A28" s="466"/>
      <c r="B28" s="466"/>
      <c r="C28" s="466"/>
      <c r="D28" s="466"/>
      <c r="E28" s="466"/>
      <c r="F28" s="409"/>
    </row>
    <row r="29" spans="1:6" ht="15.75">
      <c r="A29" s="390" t="s">
        <v>486</v>
      </c>
      <c r="B29" s="391">
        <v>28471</v>
      </c>
      <c r="C29" s="391">
        <v>2500</v>
      </c>
      <c r="D29" s="391"/>
      <c r="E29" s="391">
        <f aca="true" t="shared" si="1" ref="E29:E37">SUM(B29:D29)</f>
        <v>30971</v>
      </c>
      <c r="F29" s="410"/>
    </row>
    <row r="30" spans="1:6" ht="15.75">
      <c r="A30" s="392" t="s">
        <v>487</v>
      </c>
      <c r="B30" s="411"/>
      <c r="C30" s="412">
        <v>9639</v>
      </c>
      <c r="D30" s="411">
        <v>5182</v>
      </c>
      <c r="E30" s="395">
        <f t="shared" si="1"/>
        <v>14821</v>
      </c>
      <c r="F30" s="410"/>
    </row>
    <row r="31" spans="1:6" ht="15.75">
      <c r="A31" s="390" t="s">
        <v>488</v>
      </c>
      <c r="B31" s="391">
        <f>SUM(B29:B30)</f>
        <v>28471</v>
      </c>
      <c r="C31" s="391">
        <f>SUM(C29:C30)</f>
        <v>12139</v>
      </c>
      <c r="D31" s="391">
        <f>SUM(D29:D30)</f>
        <v>5182</v>
      </c>
      <c r="E31" s="391">
        <f t="shared" si="1"/>
        <v>45792</v>
      </c>
      <c r="F31" s="410"/>
    </row>
    <row r="32" spans="1:6" ht="15.75">
      <c r="A32" s="397" t="s">
        <v>489</v>
      </c>
      <c r="B32" s="398">
        <f>SUM(B33:B37)</f>
        <v>28471</v>
      </c>
      <c r="C32" s="398">
        <f>SUM(C33:C37)</f>
        <v>8639</v>
      </c>
      <c r="D32" s="398">
        <f>SUM(D33:D37)</f>
        <v>5182</v>
      </c>
      <c r="E32" s="398">
        <f t="shared" si="1"/>
        <v>42292</v>
      </c>
      <c r="F32" s="410"/>
    </row>
    <row r="33" spans="1:6" ht="15">
      <c r="A33" s="413" t="s">
        <v>490</v>
      </c>
      <c r="B33" s="414">
        <v>6837</v>
      </c>
      <c r="C33" s="414"/>
      <c r="D33" s="415"/>
      <c r="E33" s="416">
        <f t="shared" si="1"/>
        <v>6837</v>
      </c>
      <c r="F33" s="410"/>
    </row>
    <row r="34" spans="1:6" ht="15">
      <c r="A34" s="413" t="s">
        <v>491</v>
      </c>
      <c r="B34" s="414">
        <v>1647</v>
      </c>
      <c r="C34" s="414"/>
      <c r="D34" s="415"/>
      <c r="E34" s="416">
        <f t="shared" si="1"/>
        <v>1647</v>
      </c>
      <c r="F34" s="410"/>
    </row>
    <row r="35" spans="1:6" ht="15">
      <c r="A35" s="413">
        <v>2200</v>
      </c>
      <c r="B35" s="414">
        <v>13187</v>
      </c>
      <c r="C35" s="414">
        <v>2900</v>
      </c>
      <c r="D35" s="415">
        <v>682</v>
      </c>
      <c r="E35" s="416">
        <f t="shared" si="1"/>
        <v>16769</v>
      </c>
      <c r="F35" s="410"/>
    </row>
    <row r="36" spans="1:6" ht="15">
      <c r="A36" s="413">
        <v>2300</v>
      </c>
      <c r="B36" s="414">
        <v>6800</v>
      </c>
      <c r="C36" s="414">
        <v>2239</v>
      </c>
      <c r="D36" s="415">
        <v>1500</v>
      </c>
      <c r="E36" s="416">
        <f t="shared" si="1"/>
        <v>10539</v>
      </c>
      <c r="F36" s="410"/>
    </row>
    <row r="37" spans="1:5" ht="15">
      <c r="A37" s="413">
        <v>5200</v>
      </c>
      <c r="B37" s="417"/>
      <c r="C37" s="414">
        <v>3500</v>
      </c>
      <c r="D37" s="415">
        <v>3000</v>
      </c>
      <c r="E37" s="416">
        <f t="shared" si="1"/>
        <v>6500</v>
      </c>
    </row>
    <row r="38" spans="1:6" ht="15.75">
      <c r="A38" s="405" t="s">
        <v>492</v>
      </c>
      <c r="B38" s="398">
        <f>B31-B32</f>
        <v>0</v>
      </c>
      <c r="C38" s="406">
        <f>C31-C32</f>
        <v>3500</v>
      </c>
      <c r="D38" s="406">
        <f>D31-D32</f>
        <v>0</v>
      </c>
      <c r="E38" s="391">
        <f>E31-E32</f>
        <v>3500</v>
      </c>
      <c r="F38" s="389"/>
    </row>
    <row r="39" spans="1:6" ht="15.75">
      <c r="A39" s="418"/>
      <c r="B39" s="419"/>
      <c r="C39" s="420"/>
      <c r="D39" s="420"/>
      <c r="E39" s="421"/>
      <c r="F39" s="389"/>
    </row>
    <row r="40" spans="1:6" ht="15.75">
      <c r="A40" s="418"/>
      <c r="B40" s="419"/>
      <c r="C40" s="420"/>
      <c r="D40" s="420"/>
      <c r="E40" s="420"/>
      <c r="F40" s="389"/>
    </row>
    <row r="41" spans="1:6" ht="15.75">
      <c r="A41" s="463" t="s">
        <v>498</v>
      </c>
      <c r="B41" s="463"/>
      <c r="C41" s="463"/>
      <c r="D41" s="463"/>
      <c r="E41" s="463"/>
      <c r="F41" s="463"/>
    </row>
    <row r="42" spans="1:6" ht="15.75">
      <c r="A42" s="422"/>
      <c r="B42" s="422"/>
      <c r="C42" s="422"/>
      <c r="D42" s="422"/>
      <c r="E42" s="422"/>
      <c r="F42" s="422"/>
    </row>
    <row r="43" spans="1:6" ht="18.75">
      <c r="A43" s="464" t="s">
        <v>499</v>
      </c>
      <c r="B43" s="464"/>
      <c r="C43" s="464"/>
      <c r="D43" s="464"/>
      <c r="E43" s="464"/>
      <c r="F43" s="464"/>
    </row>
    <row r="44" spans="1:6" ht="18.75">
      <c r="A44" s="464" t="s">
        <v>496</v>
      </c>
      <c r="B44" s="464"/>
      <c r="C44" s="464"/>
      <c r="D44" s="464"/>
      <c r="E44" s="464"/>
      <c r="F44" s="464"/>
    </row>
    <row r="45" spans="1:5" ht="12.75" customHeight="1">
      <c r="A45" s="465" t="s">
        <v>482</v>
      </c>
      <c r="B45" s="465" t="s">
        <v>483</v>
      </c>
      <c r="C45" s="465" t="s">
        <v>463</v>
      </c>
      <c r="D45" s="465" t="s">
        <v>484</v>
      </c>
      <c r="E45" s="465" t="s">
        <v>497</v>
      </c>
    </row>
    <row r="46" spans="1:5" ht="22.5" customHeight="1">
      <c r="A46" s="466"/>
      <c r="B46" s="466"/>
      <c r="C46" s="466"/>
      <c r="D46" s="466"/>
      <c r="E46" s="466"/>
    </row>
    <row r="47" spans="1:5" ht="17.25" customHeight="1">
      <c r="A47" s="390" t="s">
        <v>486</v>
      </c>
      <c r="B47" s="391">
        <v>28790</v>
      </c>
      <c r="C47" s="391">
        <v>2000</v>
      </c>
      <c r="D47" s="391"/>
      <c r="E47" s="391">
        <f aca="true" t="shared" si="2" ref="E47:E56">SUM(B47:D47)</f>
        <v>30790</v>
      </c>
    </row>
    <row r="48" spans="1:5" ht="15.75">
      <c r="A48" s="392" t="s">
        <v>487</v>
      </c>
      <c r="B48" s="411">
        <v>85</v>
      </c>
      <c r="C48" s="412">
        <v>10607</v>
      </c>
      <c r="D48" s="411"/>
      <c r="E48" s="395">
        <f t="shared" si="2"/>
        <v>10692</v>
      </c>
    </row>
    <row r="49" spans="1:5" ht="15.75">
      <c r="A49" s="390" t="s">
        <v>488</v>
      </c>
      <c r="B49" s="391">
        <f>SUM(B47:B48)</f>
        <v>28875</v>
      </c>
      <c r="C49" s="391">
        <f>SUM(C47:C48)</f>
        <v>12607</v>
      </c>
      <c r="D49" s="391">
        <f>SUM(D47:D48)</f>
        <v>0</v>
      </c>
      <c r="E49" s="391">
        <f t="shared" si="2"/>
        <v>41482</v>
      </c>
    </row>
    <row r="50" spans="1:5" ht="15.75">
      <c r="A50" s="397" t="s">
        <v>489</v>
      </c>
      <c r="B50" s="398">
        <f>SUM(B51:B56)</f>
        <v>28875</v>
      </c>
      <c r="C50" s="398">
        <f>SUM(C51:C56)</f>
        <v>12607</v>
      </c>
      <c r="D50" s="398">
        <f>SUM(D51:D55)</f>
        <v>0</v>
      </c>
      <c r="E50" s="398">
        <f t="shared" si="2"/>
        <v>41482</v>
      </c>
    </row>
    <row r="51" spans="1:5" ht="15">
      <c r="A51" s="413" t="s">
        <v>490</v>
      </c>
      <c r="B51" s="414"/>
      <c r="C51" s="414"/>
      <c r="D51" s="415"/>
      <c r="E51" s="416">
        <f t="shared" si="2"/>
        <v>0</v>
      </c>
    </row>
    <row r="52" spans="1:5" ht="15">
      <c r="A52" s="413" t="s">
        <v>491</v>
      </c>
      <c r="B52" s="414"/>
      <c r="C52" s="414"/>
      <c r="D52" s="415"/>
      <c r="E52" s="416">
        <f t="shared" si="2"/>
        <v>0</v>
      </c>
    </row>
    <row r="53" spans="1:5" ht="15">
      <c r="A53" s="413">
        <v>2200</v>
      </c>
      <c r="B53" s="414">
        <v>14600</v>
      </c>
      <c r="C53" s="414">
        <v>3505</v>
      </c>
      <c r="D53" s="415"/>
      <c r="E53" s="416">
        <f t="shared" si="2"/>
        <v>18105</v>
      </c>
    </row>
    <row r="54" spans="1:5" ht="15">
      <c r="A54" s="413">
        <v>2300</v>
      </c>
      <c r="B54" s="414">
        <v>13983</v>
      </c>
      <c r="C54" s="414">
        <v>2000</v>
      </c>
      <c r="D54" s="415"/>
      <c r="E54" s="416">
        <f t="shared" si="2"/>
        <v>15983</v>
      </c>
    </row>
    <row r="55" spans="1:5" ht="15">
      <c r="A55" s="413">
        <v>2500</v>
      </c>
      <c r="B55" s="414">
        <v>100</v>
      </c>
      <c r="C55" s="417"/>
      <c r="D55" s="415"/>
      <c r="E55" s="416">
        <f t="shared" si="2"/>
        <v>100</v>
      </c>
    </row>
    <row r="56" spans="1:5" ht="15">
      <c r="A56" s="413">
        <v>5200</v>
      </c>
      <c r="B56" s="414">
        <v>192</v>
      </c>
      <c r="C56" s="414">
        <v>7102</v>
      </c>
      <c r="D56" s="415"/>
      <c r="E56" s="416">
        <f t="shared" si="2"/>
        <v>7294</v>
      </c>
    </row>
    <row r="57" spans="1:6" ht="15.75">
      <c r="A57" s="405" t="s">
        <v>492</v>
      </c>
      <c r="B57" s="398">
        <f>B49-B50</f>
        <v>0</v>
      </c>
      <c r="C57" s="406">
        <f>C49-C50</f>
        <v>0</v>
      </c>
      <c r="D57" s="406">
        <f>D49-D50</f>
        <v>0</v>
      </c>
      <c r="E57" s="391">
        <f>E49-E50</f>
        <v>0</v>
      </c>
      <c r="F57" s="423"/>
    </row>
    <row r="58" spans="1:6" ht="15.75">
      <c r="A58" s="418"/>
      <c r="B58" s="419"/>
      <c r="C58" s="420"/>
      <c r="D58" s="420"/>
      <c r="E58" s="421"/>
      <c r="F58" s="389"/>
    </row>
    <row r="59" spans="1:6" ht="15.75">
      <c r="A59" s="418"/>
      <c r="B59" s="419"/>
      <c r="C59" s="420"/>
      <c r="D59" s="420"/>
      <c r="E59" s="420"/>
      <c r="F59" s="389"/>
    </row>
    <row r="60" spans="1:6" ht="15.75">
      <c r="A60" s="463" t="s">
        <v>500</v>
      </c>
      <c r="B60" s="463"/>
      <c r="C60" s="463"/>
      <c r="D60" s="463"/>
      <c r="E60" s="463"/>
      <c r="F60" s="463"/>
    </row>
    <row r="61" spans="1:6" ht="18.75">
      <c r="A61" s="464" t="s">
        <v>501</v>
      </c>
      <c r="B61" s="464"/>
      <c r="C61" s="464"/>
      <c r="D61" s="464"/>
      <c r="E61" s="464"/>
      <c r="F61" s="464"/>
    </row>
    <row r="62" spans="1:6" ht="18.75">
      <c r="A62" s="464" t="s">
        <v>496</v>
      </c>
      <c r="B62" s="464"/>
      <c r="C62" s="464"/>
      <c r="D62" s="464"/>
      <c r="E62" s="464"/>
      <c r="F62" s="464"/>
    </row>
    <row r="63" spans="1:6" ht="9" customHeight="1">
      <c r="A63" s="387"/>
      <c r="B63" s="387"/>
      <c r="C63" s="387"/>
      <c r="D63" s="387"/>
      <c r="E63" s="387"/>
      <c r="F63" s="387"/>
    </row>
    <row r="64" spans="1:5" ht="12.75" customHeight="1">
      <c r="A64" s="465" t="s">
        <v>482</v>
      </c>
      <c r="B64" s="465" t="s">
        <v>483</v>
      </c>
      <c r="C64" s="465" t="s">
        <v>463</v>
      </c>
      <c r="D64" s="465" t="s">
        <v>484</v>
      </c>
      <c r="E64" s="465" t="s">
        <v>497</v>
      </c>
    </row>
    <row r="65" spans="1:5" ht="19.5" customHeight="1">
      <c r="A65" s="466"/>
      <c r="B65" s="466"/>
      <c r="C65" s="466"/>
      <c r="D65" s="466"/>
      <c r="E65" s="466"/>
    </row>
    <row r="66" spans="1:5" ht="15.75">
      <c r="A66" s="390" t="s">
        <v>486</v>
      </c>
      <c r="B66" s="391">
        <v>13912</v>
      </c>
      <c r="C66" s="391">
        <v>200</v>
      </c>
      <c r="D66" s="391"/>
      <c r="E66" s="391">
        <f aca="true" t="shared" si="3" ref="E66:E74">SUM(B66:D66)</f>
        <v>14112</v>
      </c>
    </row>
    <row r="67" spans="1:5" ht="15.75">
      <c r="A67" s="392" t="s">
        <v>487</v>
      </c>
      <c r="B67" s="411">
        <v>36</v>
      </c>
      <c r="C67" s="412">
        <v>918</v>
      </c>
      <c r="D67" s="411"/>
      <c r="E67" s="395">
        <f t="shared" si="3"/>
        <v>954</v>
      </c>
    </row>
    <row r="68" spans="1:5" ht="15.75">
      <c r="A68" s="390" t="s">
        <v>488</v>
      </c>
      <c r="B68" s="391">
        <f>SUM(B66:B67)</f>
        <v>13948</v>
      </c>
      <c r="C68" s="391">
        <f>SUM(C66:C67)</f>
        <v>1118</v>
      </c>
      <c r="D68" s="391">
        <f>SUM(D66:D67)</f>
        <v>0</v>
      </c>
      <c r="E68" s="391">
        <f t="shared" si="3"/>
        <v>15066</v>
      </c>
    </row>
    <row r="69" spans="1:5" ht="15.75">
      <c r="A69" s="397" t="s">
        <v>489</v>
      </c>
      <c r="B69" s="398">
        <f>SUM(B70:B74)</f>
        <v>13948</v>
      </c>
      <c r="C69" s="398">
        <f>SUM(C70:C74)</f>
        <v>0</v>
      </c>
      <c r="D69" s="398">
        <f>SUM(D70:D74)</f>
        <v>0</v>
      </c>
      <c r="E69" s="398">
        <f t="shared" si="3"/>
        <v>13948</v>
      </c>
    </row>
    <row r="70" spans="1:5" ht="15">
      <c r="A70" s="413" t="s">
        <v>490</v>
      </c>
      <c r="B70" s="414">
        <v>3500</v>
      </c>
      <c r="C70" s="414"/>
      <c r="D70" s="415"/>
      <c r="E70" s="416">
        <f t="shared" si="3"/>
        <v>3500</v>
      </c>
    </row>
    <row r="71" spans="1:5" ht="15">
      <c r="A71" s="413" t="s">
        <v>491</v>
      </c>
      <c r="B71" s="414">
        <v>843</v>
      </c>
      <c r="C71" s="414"/>
      <c r="D71" s="415"/>
      <c r="E71" s="416">
        <f t="shared" si="3"/>
        <v>843</v>
      </c>
    </row>
    <row r="72" spans="1:5" ht="15">
      <c r="A72" s="413">
        <v>2200</v>
      </c>
      <c r="B72" s="414">
        <v>2500</v>
      </c>
      <c r="C72" s="414"/>
      <c r="D72" s="415"/>
      <c r="E72" s="416">
        <f t="shared" si="3"/>
        <v>2500</v>
      </c>
    </row>
    <row r="73" spans="1:5" ht="15">
      <c r="A73" s="413">
        <v>2300</v>
      </c>
      <c r="B73" s="414">
        <v>7105</v>
      </c>
      <c r="C73" s="414"/>
      <c r="D73" s="415"/>
      <c r="E73" s="416">
        <f t="shared" si="3"/>
        <v>7105</v>
      </c>
    </row>
    <row r="74" spans="1:5" ht="15">
      <c r="A74" s="413">
        <v>5200</v>
      </c>
      <c r="B74" s="417"/>
      <c r="C74" s="417"/>
      <c r="D74" s="415"/>
      <c r="E74" s="416">
        <f t="shared" si="3"/>
        <v>0</v>
      </c>
    </row>
    <row r="75" spans="1:6" ht="15.75">
      <c r="A75" s="405" t="s">
        <v>492</v>
      </c>
      <c r="B75" s="398">
        <f>B68-B69</f>
        <v>0</v>
      </c>
      <c r="C75" s="406">
        <f>C68-C69</f>
        <v>1118</v>
      </c>
      <c r="D75" s="406">
        <f>D68-D69</f>
        <v>0</v>
      </c>
      <c r="E75" s="391">
        <f>E68-E69</f>
        <v>1118</v>
      </c>
      <c r="F75" s="423"/>
    </row>
    <row r="76" spans="1:6" ht="15.75">
      <c r="A76" s="418"/>
      <c r="B76" s="419"/>
      <c r="C76" s="420"/>
      <c r="D76" s="420"/>
      <c r="E76" s="421"/>
      <c r="F76" s="389"/>
    </row>
    <row r="77" spans="1:6" ht="15.75">
      <c r="A77" s="418"/>
      <c r="B77" s="419"/>
      <c r="C77" s="420"/>
      <c r="D77" s="420"/>
      <c r="E77" s="420"/>
      <c r="F77" s="389"/>
    </row>
    <row r="78" spans="1:6" ht="15.75">
      <c r="A78" s="463" t="s">
        <v>502</v>
      </c>
      <c r="B78" s="463"/>
      <c r="C78" s="463"/>
      <c r="D78" s="463"/>
      <c r="E78" s="463"/>
      <c r="F78" s="463"/>
    </row>
    <row r="79" spans="1:6" ht="9.75" customHeight="1">
      <c r="A79" s="422"/>
      <c r="B79" s="422"/>
      <c r="C79" s="422"/>
      <c r="D79" s="422"/>
      <c r="E79" s="422"/>
      <c r="F79" s="422"/>
    </row>
    <row r="80" spans="1:6" ht="18.75">
      <c r="A80" s="464" t="s">
        <v>503</v>
      </c>
      <c r="B80" s="464"/>
      <c r="C80" s="464"/>
      <c r="D80" s="464"/>
      <c r="E80" s="464"/>
      <c r="F80" s="464"/>
    </row>
    <row r="81" spans="1:6" ht="18.75">
      <c r="A81" s="464" t="s">
        <v>496</v>
      </c>
      <c r="B81" s="464"/>
      <c r="C81" s="464"/>
      <c r="D81" s="464"/>
      <c r="E81" s="464"/>
      <c r="F81" s="464"/>
    </row>
    <row r="82" spans="1:6" ht="7.5" customHeight="1">
      <c r="A82" s="387"/>
      <c r="B82" s="387"/>
      <c r="C82" s="387"/>
      <c r="D82" s="387"/>
      <c r="E82" s="387"/>
      <c r="F82" s="387"/>
    </row>
    <row r="83" spans="1:6" ht="12.75" customHeight="1">
      <c r="A83" s="465" t="s">
        <v>482</v>
      </c>
      <c r="B83" s="465" t="s">
        <v>483</v>
      </c>
      <c r="C83" s="465" t="s">
        <v>463</v>
      </c>
      <c r="D83" s="465" t="s">
        <v>484</v>
      </c>
      <c r="E83" s="465" t="s">
        <v>497</v>
      </c>
      <c r="F83" s="389"/>
    </row>
    <row r="84" spans="1:5" ht="24" customHeight="1">
      <c r="A84" s="466"/>
      <c r="B84" s="466"/>
      <c r="C84" s="466"/>
      <c r="D84" s="466"/>
      <c r="E84" s="466"/>
    </row>
    <row r="85" spans="1:5" ht="15.75">
      <c r="A85" s="390" t="s">
        <v>486</v>
      </c>
      <c r="B85" s="391">
        <v>21240</v>
      </c>
      <c r="C85" s="391">
        <v>1200</v>
      </c>
      <c r="D85" s="391"/>
      <c r="E85" s="391">
        <f aca="true" t="shared" si="4" ref="E85:E93">SUM(B85:D85)</f>
        <v>22440</v>
      </c>
    </row>
    <row r="86" spans="1:5" ht="15.75">
      <c r="A86" s="392" t="s">
        <v>487</v>
      </c>
      <c r="B86" s="411"/>
      <c r="C86" s="412">
        <v>1266</v>
      </c>
      <c r="D86" s="411"/>
      <c r="E86" s="395">
        <f t="shared" si="4"/>
        <v>1266</v>
      </c>
    </row>
    <row r="87" spans="1:5" ht="15.75">
      <c r="A87" s="390" t="s">
        <v>488</v>
      </c>
      <c r="B87" s="391">
        <f>SUM(B85:B86)</f>
        <v>21240</v>
      </c>
      <c r="C87" s="391">
        <f>SUM(C85:C86)</f>
        <v>2466</v>
      </c>
      <c r="D87" s="391">
        <f>SUM(D85:D86)</f>
        <v>0</v>
      </c>
      <c r="E87" s="391">
        <f t="shared" si="4"/>
        <v>23706</v>
      </c>
    </row>
    <row r="88" spans="1:5" ht="15.75">
      <c r="A88" s="397" t="s">
        <v>489</v>
      </c>
      <c r="B88" s="398">
        <f>SUM(B89:B93)</f>
        <v>21240</v>
      </c>
      <c r="C88" s="398">
        <f>SUM(C89:C93)</f>
        <v>1200</v>
      </c>
      <c r="D88" s="398">
        <f>SUM(D89:D93)</f>
        <v>0</v>
      </c>
      <c r="E88" s="398">
        <f t="shared" si="4"/>
        <v>22440</v>
      </c>
    </row>
    <row r="89" spans="1:5" ht="15">
      <c r="A89" s="413" t="s">
        <v>490</v>
      </c>
      <c r="B89" s="414">
        <v>6340</v>
      </c>
      <c r="C89" s="414"/>
      <c r="D89" s="415"/>
      <c r="E89" s="416">
        <f t="shared" si="4"/>
        <v>6340</v>
      </c>
    </row>
    <row r="90" spans="1:5" ht="15">
      <c r="A90" s="413" t="s">
        <v>491</v>
      </c>
      <c r="B90" s="414">
        <v>1927</v>
      </c>
      <c r="C90" s="414"/>
      <c r="D90" s="415"/>
      <c r="E90" s="416">
        <f t="shared" si="4"/>
        <v>1927</v>
      </c>
    </row>
    <row r="91" spans="1:5" ht="15">
      <c r="A91" s="413">
        <v>2200</v>
      </c>
      <c r="B91" s="414">
        <v>600</v>
      </c>
      <c r="C91" s="414"/>
      <c r="D91" s="415"/>
      <c r="E91" s="416">
        <f t="shared" si="4"/>
        <v>600</v>
      </c>
    </row>
    <row r="92" spans="1:5" ht="15">
      <c r="A92" s="413">
        <v>2300</v>
      </c>
      <c r="B92" s="414">
        <v>12373</v>
      </c>
      <c r="C92" s="414">
        <v>300</v>
      </c>
      <c r="D92" s="415"/>
      <c r="E92" s="416">
        <f t="shared" si="4"/>
        <v>12673</v>
      </c>
    </row>
    <row r="93" spans="1:5" ht="15">
      <c r="A93" s="413">
        <v>5200</v>
      </c>
      <c r="B93" s="417"/>
      <c r="C93" s="414">
        <v>900</v>
      </c>
      <c r="D93" s="415"/>
      <c r="E93" s="416">
        <f t="shared" si="4"/>
        <v>900</v>
      </c>
    </row>
    <row r="94" spans="1:5" ht="15.75">
      <c r="A94" s="405" t="s">
        <v>492</v>
      </c>
      <c r="B94" s="398">
        <f>B87-B88</f>
        <v>0</v>
      </c>
      <c r="C94" s="406">
        <f>C87-C88</f>
        <v>1266</v>
      </c>
      <c r="D94" s="406">
        <f>D87-D88</f>
        <v>0</v>
      </c>
      <c r="E94" s="391">
        <f>E87-E88</f>
        <v>1266</v>
      </c>
    </row>
    <row r="95" spans="1:6" ht="15.75">
      <c r="A95" s="424" t="s">
        <v>504</v>
      </c>
      <c r="B95" s="425"/>
      <c r="C95" s="426"/>
      <c r="D95" s="427"/>
      <c r="E95" s="419">
        <f>SUM(B95:D95)</f>
        <v>0</v>
      </c>
      <c r="F95" s="389"/>
    </row>
    <row r="96" spans="1:6" ht="15.75">
      <c r="A96" s="424"/>
      <c r="B96" s="425"/>
      <c r="C96" s="426"/>
      <c r="D96" s="427"/>
      <c r="E96" s="419"/>
      <c r="F96" s="389"/>
    </row>
    <row r="97" spans="1:6" ht="15.75">
      <c r="A97" s="424"/>
      <c r="B97" s="425"/>
      <c r="C97" s="426"/>
      <c r="D97" s="427"/>
      <c r="E97" s="419"/>
      <c r="F97" s="389"/>
    </row>
    <row r="98" spans="1:6" ht="15.75">
      <c r="A98" s="463" t="s">
        <v>505</v>
      </c>
      <c r="B98" s="463"/>
      <c r="C98" s="463"/>
      <c r="D98" s="463"/>
      <c r="E98" s="463"/>
      <c r="F98" s="463"/>
    </row>
    <row r="99" spans="1:6" ht="18.75">
      <c r="A99" s="464" t="s">
        <v>506</v>
      </c>
      <c r="B99" s="464"/>
      <c r="C99" s="464"/>
      <c r="D99" s="464"/>
      <c r="E99" s="464"/>
      <c r="F99" s="464"/>
    </row>
    <row r="100" spans="1:6" ht="18.75">
      <c r="A100" s="464" t="s">
        <v>496</v>
      </c>
      <c r="B100" s="464"/>
      <c r="C100" s="464"/>
      <c r="D100" s="464"/>
      <c r="E100" s="464"/>
      <c r="F100" s="464"/>
    </row>
    <row r="101" spans="1:6" ht="18.75">
      <c r="A101" s="387"/>
      <c r="B101" s="387"/>
      <c r="C101" s="387"/>
      <c r="D101" s="387"/>
      <c r="E101" s="387"/>
      <c r="F101" s="387"/>
    </row>
    <row r="102" spans="1:5" ht="12.75">
      <c r="A102" s="465" t="s">
        <v>482</v>
      </c>
      <c r="B102" s="465" t="s">
        <v>483</v>
      </c>
      <c r="C102" s="465" t="s">
        <v>463</v>
      </c>
      <c r="D102" s="465" t="s">
        <v>484</v>
      </c>
      <c r="E102" s="465" t="s">
        <v>497</v>
      </c>
    </row>
    <row r="103" spans="1:5" ht="19.5" customHeight="1">
      <c r="A103" s="466"/>
      <c r="B103" s="466"/>
      <c r="C103" s="466"/>
      <c r="D103" s="466"/>
      <c r="E103" s="466"/>
    </row>
    <row r="104" spans="1:5" ht="15.75">
      <c r="A104" s="390" t="s">
        <v>486</v>
      </c>
      <c r="B104" s="391">
        <v>20136</v>
      </c>
      <c r="C104" s="391">
        <v>600</v>
      </c>
      <c r="D104" s="391"/>
      <c r="E104" s="391">
        <f aca="true" t="shared" si="5" ref="E104:E112">SUM(B104:D104)</f>
        <v>20736</v>
      </c>
    </row>
    <row r="105" spans="1:5" ht="15.75">
      <c r="A105" s="392" t="s">
        <v>487</v>
      </c>
      <c r="B105" s="411">
        <v>2095</v>
      </c>
      <c r="C105" s="412">
        <v>2162</v>
      </c>
      <c r="D105" s="411"/>
      <c r="E105" s="395">
        <f t="shared" si="5"/>
        <v>4257</v>
      </c>
    </row>
    <row r="106" spans="1:5" ht="15.75">
      <c r="A106" s="390" t="s">
        <v>488</v>
      </c>
      <c r="B106" s="391">
        <f>SUM(B104:B105)</f>
        <v>22231</v>
      </c>
      <c r="C106" s="391">
        <f>SUM(C104:C105)</f>
        <v>2762</v>
      </c>
      <c r="D106" s="391">
        <f>SUM(D104:D105)</f>
        <v>0</v>
      </c>
      <c r="E106" s="391">
        <f t="shared" si="5"/>
        <v>24993</v>
      </c>
    </row>
    <row r="107" spans="1:5" ht="15.75">
      <c r="A107" s="397" t="s">
        <v>489</v>
      </c>
      <c r="B107" s="398">
        <f>SUM(B108:B112)</f>
        <v>21982</v>
      </c>
      <c r="C107" s="398">
        <f>SUM(C108:C112)</f>
        <v>1011</v>
      </c>
      <c r="D107" s="398">
        <f>SUM(D108:D112)</f>
        <v>0</v>
      </c>
      <c r="E107" s="398">
        <f t="shared" si="5"/>
        <v>22993</v>
      </c>
    </row>
    <row r="108" spans="1:5" ht="15">
      <c r="A108" s="413" t="s">
        <v>490</v>
      </c>
      <c r="B108" s="414">
        <v>6600</v>
      </c>
      <c r="C108" s="414"/>
      <c r="D108" s="415"/>
      <c r="E108" s="416">
        <f t="shared" si="5"/>
        <v>6600</v>
      </c>
    </row>
    <row r="109" spans="1:5" ht="15">
      <c r="A109" s="413" t="s">
        <v>491</v>
      </c>
      <c r="B109" s="414">
        <v>1835</v>
      </c>
      <c r="C109" s="414"/>
      <c r="D109" s="415"/>
      <c r="E109" s="416">
        <f t="shared" si="5"/>
        <v>1835</v>
      </c>
    </row>
    <row r="110" spans="1:5" ht="15">
      <c r="A110" s="413">
        <v>2200</v>
      </c>
      <c r="B110" s="414">
        <v>3670</v>
      </c>
      <c r="C110" s="414">
        <v>1011</v>
      </c>
      <c r="D110" s="415"/>
      <c r="E110" s="416">
        <f t="shared" si="5"/>
        <v>4681</v>
      </c>
    </row>
    <row r="111" spans="1:5" ht="15">
      <c r="A111" s="413">
        <v>2300</v>
      </c>
      <c r="B111" s="414">
        <v>7877</v>
      </c>
      <c r="C111" s="414"/>
      <c r="D111" s="415"/>
      <c r="E111" s="416">
        <f t="shared" si="5"/>
        <v>7877</v>
      </c>
    </row>
    <row r="112" spans="1:5" ht="15">
      <c r="A112" s="413">
        <v>5200</v>
      </c>
      <c r="B112" s="414">
        <v>2000</v>
      </c>
      <c r="C112" s="417"/>
      <c r="D112" s="415"/>
      <c r="E112" s="416">
        <f t="shared" si="5"/>
        <v>2000</v>
      </c>
    </row>
    <row r="113" spans="1:5" ht="15.75">
      <c r="A113" s="405" t="s">
        <v>492</v>
      </c>
      <c r="B113" s="398">
        <f>B106-B107</f>
        <v>249</v>
      </c>
      <c r="C113" s="406">
        <f>C106-C107</f>
        <v>1751</v>
      </c>
      <c r="D113" s="406">
        <f>D106-D107</f>
        <v>0</v>
      </c>
      <c r="E113" s="391">
        <f>E106-E107</f>
        <v>2000</v>
      </c>
    </row>
    <row r="114" spans="1:5" ht="15.75">
      <c r="A114" s="418"/>
      <c r="B114" s="419"/>
      <c r="C114" s="420"/>
      <c r="D114" s="420"/>
      <c r="E114" s="421"/>
    </row>
    <row r="115" spans="1:5" ht="15.75">
      <c r="A115" s="418"/>
      <c r="B115" s="419"/>
      <c r="C115" s="420"/>
      <c r="D115" s="420"/>
      <c r="E115" s="420"/>
    </row>
    <row r="116" spans="1:6" ht="15.75">
      <c r="A116" s="463" t="s">
        <v>507</v>
      </c>
      <c r="B116" s="463"/>
      <c r="C116" s="463"/>
      <c r="D116" s="463"/>
      <c r="E116" s="463"/>
      <c r="F116" s="463"/>
    </row>
    <row r="117" spans="1:6" ht="15.75">
      <c r="A117" s="422"/>
      <c r="B117" s="422"/>
      <c r="C117" s="422"/>
      <c r="D117" s="422"/>
      <c r="E117" s="422"/>
      <c r="F117" s="422"/>
    </row>
    <row r="118" spans="1:6" ht="18.75">
      <c r="A118" s="467" t="s">
        <v>508</v>
      </c>
      <c r="B118" s="467"/>
      <c r="C118" s="467"/>
      <c r="D118" s="467"/>
      <c r="E118" s="467"/>
      <c r="F118" s="467"/>
    </row>
    <row r="119" spans="1:6" ht="18.75">
      <c r="A119" s="467" t="s">
        <v>496</v>
      </c>
      <c r="B119" s="467"/>
      <c r="C119" s="467"/>
      <c r="D119" s="467"/>
      <c r="E119" s="467"/>
      <c r="F119" s="467"/>
    </row>
    <row r="120" spans="1:6" ht="11.25" customHeight="1">
      <c r="A120" s="428"/>
      <c r="B120" s="428"/>
      <c r="C120" s="428"/>
      <c r="D120" s="428"/>
      <c r="E120" s="428"/>
      <c r="F120" s="428"/>
    </row>
    <row r="121" spans="1:5" ht="12.75">
      <c r="A121" s="465" t="s">
        <v>482</v>
      </c>
      <c r="B121" s="465" t="s">
        <v>483</v>
      </c>
      <c r="C121" s="465" t="s">
        <v>463</v>
      </c>
      <c r="D121" s="465" t="s">
        <v>484</v>
      </c>
      <c r="E121" s="465" t="s">
        <v>497</v>
      </c>
    </row>
    <row r="122" spans="1:5" ht="22.5" customHeight="1">
      <c r="A122" s="466"/>
      <c r="B122" s="466"/>
      <c r="C122" s="466"/>
      <c r="D122" s="466"/>
      <c r="E122" s="466"/>
    </row>
    <row r="123" spans="1:5" ht="15.75">
      <c r="A123" s="390" t="s">
        <v>486</v>
      </c>
      <c r="B123" s="391">
        <v>19568</v>
      </c>
      <c r="C123" s="391">
        <v>300</v>
      </c>
      <c r="D123" s="391"/>
      <c r="E123" s="391">
        <f aca="true" t="shared" si="6" ref="E123:E131">SUM(B123:D123)</f>
        <v>19868</v>
      </c>
    </row>
    <row r="124" spans="1:7" ht="15.75">
      <c r="A124" s="392" t="s">
        <v>487</v>
      </c>
      <c r="B124" s="411">
        <v>208</v>
      </c>
      <c r="C124" s="412">
        <v>63</v>
      </c>
      <c r="D124" s="411"/>
      <c r="E124" s="395">
        <f t="shared" si="6"/>
        <v>271</v>
      </c>
      <c r="G124" s="410"/>
    </row>
    <row r="125" spans="1:5" ht="15.75">
      <c r="A125" s="390" t="s">
        <v>488</v>
      </c>
      <c r="B125" s="391">
        <f>SUM(B123:B124)</f>
        <v>19776</v>
      </c>
      <c r="C125" s="391">
        <f>SUM(C123:C124)</f>
        <v>363</v>
      </c>
      <c r="D125" s="391">
        <f>SUM(D123:D124)</f>
        <v>0</v>
      </c>
      <c r="E125" s="391">
        <f t="shared" si="6"/>
        <v>20139</v>
      </c>
    </row>
    <row r="126" spans="1:5" ht="15.75">
      <c r="A126" s="397" t="s">
        <v>489</v>
      </c>
      <c r="B126" s="398">
        <f>SUM(B127:B131)</f>
        <v>19568</v>
      </c>
      <c r="C126" s="398">
        <f>SUM(C127:C131)</f>
        <v>363</v>
      </c>
      <c r="D126" s="398">
        <f>SUM(D127:D131)</f>
        <v>0</v>
      </c>
      <c r="E126" s="398">
        <f t="shared" si="6"/>
        <v>19931</v>
      </c>
    </row>
    <row r="127" spans="1:5" ht="15">
      <c r="A127" s="413" t="s">
        <v>490</v>
      </c>
      <c r="B127" s="414">
        <v>3600</v>
      </c>
      <c r="C127" s="414"/>
      <c r="D127" s="415"/>
      <c r="E127" s="416">
        <f t="shared" si="6"/>
        <v>3600</v>
      </c>
    </row>
    <row r="128" spans="1:5" ht="15">
      <c r="A128" s="413" t="s">
        <v>491</v>
      </c>
      <c r="B128" s="414">
        <v>967</v>
      </c>
      <c r="C128" s="414"/>
      <c r="D128" s="415"/>
      <c r="E128" s="416">
        <f t="shared" si="6"/>
        <v>967</v>
      </c>
    </row>
    <row r="129" spans="1:5" ht="15">
      <c r="A129" s="413">
        <v>2200</v>
      </c>
      <c r="B129" s="414">
        <v>14701</v>
      </c>
      <c r="C129" s="414">
        <v>363</v>
      </c>
      <c r="D129" s="415"/>
      <c r="E129" s="416">
        <f t="shared" si="6"/>
        <v>15064</v>
      </c>
    </row>
    <row r="130" spans="1:5" ht="15">
      <c r="A130" s="413">
        <v>2300</v>
      </c>
      <c r="B130" s="414">
        <v>300</v>
      </c>
      <c r="C130" s="414"/>
      <c r="D130" s="415"/>
      <c r="E130" s="416">
        <f t="shared" si="6"/>
        <v>300</v>
      </c>
    </row>
    <row r="131" spans="1:5" ht="15">
      <c r="A131" s="413">
        <v>5200</v>
      </c>
      <c r="B131" s="417"/>
      <c r="C131" s="417"/>
      <c r="D131" s="415"/>
      <c r="E131" s="416">
        <f t="shared" si="6"/>
        <v>0</v>
      </c>
    </row>
    <row r="132" spans="1:5" ht="15.75">
      <c r="A132" s="405" t="s">
        <v>492</v>
      </c>
      <c r="B132" s="398">
        <f>B125-B126</f>
        <v>208</v>
      </c>
      <c r="C132" s="406">
        <f>C125-C126</f>
        <v>0</v>
      </c>
      <c r="D132" s="406">
        <f>D125-D126</f>
        <v>0</v>
      </c>
      <c r="E132" s="391">
        <f>E125-E126</f>
        <v>208</v>
      </c>
    </row>
    <row r="133" spans="1:5" ht="15.75">
      <c r="A133" s="418"/>
      <c r="B133" s="419"/>
      <c r="C133" s="420"/>
      <c r="D133" s="420"/>
      <c r="E133" s="421"/>
    </row>
    <row r="134" spans="1:5" ht="15.75">
      <c r="A134" s="418"/>
      <c r="B134" s="419"/>
      <c r="C134" s="420"/>
      <c r="D134" s="420"/>
      <c r="E134" s="420"/>
    </row>
    <row r="135" spans="1:6" ht="15.75">
      <c r="A135" s="463" t="s">
        <v>509</v>
      </c>
      <c r="B135" s="463"/>
      <c r="C135" s="463"/>
      <c r="D135" s="463"/>
      <c r="E135" s="463"/>
      <c r="F135" s="463"/>
    </row>
    <row r="136" spans="1:6" ht="18.75">
      <c r="A136" s="464" t="s">
        <v>510</v>
      </c>
      <c r="B136" s="464"/>
      <c r="C136" s="464"/>
      <c r="D136" s="464"/>
      <c r="E136" s="464"/>
      <c r="F136" s="464"/>
    </row>
    <row r="137" spans="1:6" ht="18.75">
      <c r="A137" s="464" t="s">
        <v>496</v>
      </c>
      <c r="B137" s="464"/>
      <c r="C137" s="464"/>
      <c r="D137" s="464"/>
      <c r="E137" s="464"/>
      <c r="F137" s="464"/>
    </row>
    <row r="138" spans="1:6" ht="18.75">
      <c r="A138" s="387"/>
      <c r="B138" s="387"/>
      <c r="C138" s="387"/>
      <c r="D138" s="387"/>
      <c r="E138" s="387"/>
      <c r="F138" s="387"/>
    </row>
    <row r="139" spans="1:5" ht="12.75">
      <c r="A139" s="465" t="s">
        <v>482</v>
      </c>
      <c r="B139" s="465" t="s">
        <v>483</v>
      </c>
      <c r="C139" s="465" t="s">
        <v>463</v>
      </c>
      <c r="D139" s="465" t="s">
        <v>484</v>
      </c>
      <c r="E139" s="465" t="s">
        <v>497</v>
      </c>
    </row>
    <row r="140" spans="1:5" ht="21" customHeight="1">
      <c r="A140" s="466"/>
      <c r="B140" s="466"/>
      <c r="C140" s="466"/>
      <c r="D140" s="466"/>
      <c r="E140" s="466"/>
    </row>
    <row r="141" spans="1:5" ht="15.75">
      <c r="A141" s="390" t="s">
        <v>486</v>
      </c>
      <c r="B141" s="391">
        <v>18266</v>
      </c>
      <c r="C141" s="391">
        <v>4000</v>
      </c>
      <c r="D141" s="391"/>
      <c r="E141" s="391">
        <f aca="true" t="shared" si="7" ref="E141:E149">SUM(B141:D141)</f>
        <v>22266</v>
      </c>
    </row>
    <row r="142" spans="1:5" ht="15.75">
      <c r="A142" s="392" t="s">
        <v>487</v>
      </c>
      <c r="B142" s="411">
        <v>45</v>
      </c>
      <c r="C142" s="412">
        <v>1714</v>
      </c>
      <c r="D142" s="411"/>
      <c r="E142" s="395">
        <f t="shared" si="7"/>
        <v>1759</v>
      </c>
    </row>
    <row r="143" spans="1:5" ht="15.75">
      <c r="A143" s="390" t="s">
        <v>488</v>
      </c>
      <c r="B143" s="391">
        <f>SUM(B141:B142)</f>
        <v>18311</v>
      </c>
      <c r="C143" s="391">
        <f>SUM(C141:C142)</f>
        <v>5714</v>
      </c>
      <c r="D143" s="391">
        <f>SUM(D141:D142)</f>
        <v>0</v>
      </c>
      <c r="E143" s="391">
        <f t="shared" si="7"/>
        <v>24025</v>
      </c>
    </row>
    <row r="144" spans="1:5" ht="15.75">
      <c r="A144" s="397" t="s">
        <v>489</v>
      </c>
      <c r="B144" s="398">
        <f>SUM(B145:B149)</f>
        <v>18311</v>
      </c>
      <c r="C144" s="398">
        <f>SUM(C145:C149)</f>
        <v>5714</v>
      </c>
      <c r="D144" s="398">
        <f>SUM(D145:D149)</f>
        <v>0</v>
      </c>
      <c r="E144" s="398">
        <f t="shared" si="7"/>
        <v>24025</v>
      </c>
    </row>
    <row r="145" spans="1:5" ht="15">
      <c r="A145" s="413" t="s">
        <v>490</v>
      </c>
      <c r="B145" s="414">
        <v>1500</v>
      </c>
      <c r="C145" s="414"/>
      <c r="D145" s="415"/>
      <c r="E145" s="416">
        <f t="shared" si="7"/>
        <v>1500</v>
      </c>
    </row>
    <row r="146" spans="1:5" ht="15">
      <c r="A146" s="413" t="s">
        <v>491</v>
      </c>
      <c r="B146" s="414">
        <v>361</v>
      </c>
      <c r="C146" s="414"/>
      <c r="D146" s="415"/>
      <c r="E146" s="416">
        <f t="shared" si="7"/>
        <v>361</v>
      </c>
    </row>
    <row r="147" spans="1:5" ht="15">
      <c r="A147" s="413">
        <v>2200</v>
      </c>
      <c r="B147" s="414">
        <v>11300</v>
      </c>
      <c r="C147" s="414">
        <v>3800</v>
      </c>
      <c r="D147" s="415"/>
      <c r="E147" s="416">
        <f t="shared" si="7"/>
        <v>15100</v>
      </c>
    </row>
    <row r="148" spans="1:5" ht="15">
      <c r="A148" s="413">
        <v>2300</v>
      </c>
      <c r="B148" s="414">
        <v>5150</v>
      </c>
      <c r="C148" s="414">
        <v>1914</v>
      </c>
      <c r="D148" s="415"/>
      <c r="E148" s="416">
        <f t="shared" si="7"/>
        <v>7064</v>
      </c>
    </row>
    <row r="149" spans="1:5" ht="15">
      <c r="A149" s="413">
        <v>5200</v>
      </c>
      <c r="B149" s="417"/>
      <c r="C149" s="417"/>
      <c r="D149" s="415"/>
      <c r="E149" s="416">
        <f t="shared" si="7"/>
        <v>0</v>
      </c>
    </row>
    <row r="150" spans="1:5" ht="15.75">
      <c r="A150" s="405" t="s">
        <v>492</v>
      </c>
      <c r="B150" s="398">
        <f>B143-B144</f>
        <v>0</v>
      </c>
      <c r="C150" s="406">
        <f>C143-C144</f>
        <v>0</v>
      </c>
      <c r="D150" s="406">
        <f>D143-D144</f>
        <v>0</v>
      </c>
      <c r="E150" s="391">
        <f>E143-E144</f>
        <v>0</v>
      </c>
    </row>
    <row r="151" spans="1:5" ht="15.75">
      <c r="A151" s="418"/>
      <c r="B151" s="419"/>
      <c r="C151" s="420"/>
      <c r="D151" s="420"/>
      <c r="E151" s="421"/>
    </row>
    <row r="152" spans="1:5" ht="15.75">
      <c r="A152" s="418"/>
      <c r="B152" s="419"/>
      <c r="C152" s="420"/>
      <c r="D152" s="420"/>
      <c r="E152" s="420"/>
    </row>
    <row r="153" spans="1:6" ht="15.75">
      <c r="A153" s="463" t="s">
        <v>511</v>
      </c>
      <c r="B153" s="463"/>
      <c r="C153" s="463"/>
      <c r="D153" s="463"/>
      <c r="E153" s="463"/>
      <c r="F153" s="463"/>
    </row>
    <row r="154" spans="1:6" ht="15.75">
      <c r="A154" s="422"/>
      <c r="B154" s="422"/>
      <c r="C154" s="422"/>
      <c r="D154" s="422"/>
      <c r="E154" s="422"/>
      <c r="F154" s="422"/>
    </row>
    <row r="155" spans="1:6" ht="18.75">
      <c r="A155" s="464" t="s">
        <v>512</v>
      </c>
      <c r="B155" s="464"/>
      <c r="C155" s="464"/>
      <c r="D155" s="464"/>
      <c r="E155" s="464"/>
      <c r="F155" s="464"/>
    </row>
    <row r="156" spans="1:6" ht="18.75">
      <c r="A156" s="464" t="s">
        <v>496</v>
      </c>
      <c r="B156" s="464"/>
      <c r="C156" s="464"/>
      <c r="D156" s="464"/>
      <c r="E156" s="464"/>
      <c r="F156" s="464"/>
    </row>
    <row r="157" spans="1:6" ht="13.5" customHeight="1">
      <c r="A157" s="387"/>
      <c r="B157" s="387"/>
      <c r="C157" s="387"/>
      <c r="D157" s="387"/>
      <c r="E157" s="387"/>
      <c r="F157" s="387"/>
    </row>
    <row r="158" spans="1:5" ht="12.75">
      <c r="A158" s="465" t="s">
        <v>482</v>
      </c>
      <c r="B158" s="465" t="s">
        <v>483</v>
      </c>
      <c r="C158" s="465" t="s">
        <v>463</v>
      </c>
      <c r="D158" s="465" t="s">
        <v>484</v>
      </c>
      <c r="E158" s="465" t="s">
        <v>497</v>
      </c>
    </row>
    <row r="159" spans="1:5" ht="20.25" customHeight="1">
      <c r="A159" s="466"/>
      <c r="B159" s="466"/>
      <c r="C159" s="466"/>
      <c r="D159" s="466"/>
      <c r="E159" s="466"/>
    </row>
    <row r="160" spans="1:5" ht="15.75">
      <c r="A160" s="390" t="s">
        <v>486</v>
      </c>
      <c r="B160" s="391">
        <v>13059</v>
      </c>
      <c r="C160" s="391">
        <v>300</v>
      </c>
      <c r="D160" s="391">
        <v>5000</v>
      </c>
      <c r="E160" s="391">
        <f aca="true" t="shared" si="8" ref="E160:E168">SUM(B160:D160)</f>
        <v>18359</v>
      </c>
    </row>
    <row r="161" spans="1:5" ht="15.75">
      <c r="A161" s="392" t="s">
        <v>487</v>
      </c>
      <c r="B161" s="411">
        <v>2912</v>
      </c>
      <c r="C161" s="412">
        <v>15937</v>
      </c>
      <c r="D161" s="411">
        <v>2288</v>
      </c>
      <c r="E161" s="395">
        <f t="shared" si="8"/>
        <v>21137</v>
      </c>
    </row>
    <row r="162" spans="1:5" ht="15.75">
      <c r="A162" s="390" t="s">
        <v>488</v>
      </c>
      <c r="B162" s="391">
        <f>SUM(B160:B161)</f>
        <v>15971</v>
      </c>
      <c r="C162" s="391">
        <f>SUM(C160:C161)</f>
        <v>16237</v>
      </c>
      <c r="D162" s="391">
        <f>SUM(D160:D161)</f>
        <v>7288</v>
      </c>
      <c r="E162" s="391">
        <f t="shared" si="8"/>
        <v>39496</v>
      </c>
    </row>
    <row r="163" spans="1:5" ht="15.75">
      <c r="A163" s="397" t="s">
        <v>489</v>
      </c>
      <c r="B163" s="398">
        <f>SUM(B164:B168)</f>
        <v>12921</v>
      </c>
      <c r="C163" s="398">
        <f>SUM(C164:C168)</f>
        <v>0</v>
      </c>
      <c r="D163" s="398">
        <f>SUM(D164:D168)</f>
        <v>5000</v>
      </c>
      <c r="E163" s="398">
        <f t="shared" si="8"/>
        <v>17921</v>
      </c>
    </row>
    <row r="164" spans="1:5" ht="15">
      <c r="A164" s="413" t="s">
        <v>490</v>
      </c>
      <c r="B164" s="414"/>
      <c r="C164" s="414"/>
      <c r="D164" s="415"/>
      <c r="E164" s="416">
        <f t="shared" si="8"/>
        <v>0</v>
      </c>
    </row>
    <row r="165" spans="1:5" ht="15">
      <c r="A165" s="413" t="s">
        <v>491</v>
      </c>
      <c r="B165" s="414"/>
      <c r="C165" s="414"/>
      <c r="D165" s="415"/>
      <c r="E165" s="416">
        <f t="shared" si="8"/>
        <v>0</v>
      </c>
    </row>
    <row r="166" spans="1:5" ht="15">
      <c r="A166" s="413">
        <v>2200</v>
      </c>
      <c r="B166" s="414">
        <v>12921</v>
      </c>
      <c r="C166" s="414"/>
      <c r="D166" s="415">
        <v>4700</v>
      </c>
      <c r="E166" s="416">
        <f t="shared" si="8"/>
        <v>17621</v>
      </c>
    </row>
    <row r="167" spans="1:5" ht="15">
      <c r="A167" s="413">
        <v>2300</v>
      </c>
      <c r="B167" s="414"/>
      <c r="C167" s="414"/>
      <c r="D167" s="415"/>
      <c r="E167" s="416">
        <f t="shared" si="8"/>
        <v>0</v>
      </c>
    </row>
    <row r="168" spans="1:5" ht="15">
      <c r="A168" s="413">
        <v>5200</v>
      </c>
      <c r="B168" s="417"/>
      <c r="C168" s="417"/>
      <c r="D168" s="415">
        <v>300</v>
      </c>
      <c r="E168" s="416">
        <f t="shared" si="8"/>
        <v>300</v>
      </c>
    </row>
    <row r="169" spans="1:5" ht="15.75">
      <c r="A169" s="405" t="s">
        <v>492</v>
      </c>
      <c r="B169" s="398">
        <f>B162-B163</f>
        <v>3050</v>
      </c>
      <c r="C169" s="406">
        <f>C162-C163</f>
        <v>16237</v>
      </c>
      <c r="D169" s="406">
        <f>D162-D163</f>
        <v>2288</v>
      </c>
      <c r="E169" s="391">
        <f>E162-E163</f>
        <v>21575</v>
      </c>
    </row>
    <row r="170" spans="1:5" ht="15.75">
      <c r="A170" s="418"/>
      <c r="B170" s="419"/>
      <c r="C170" s="420"/>
      <c r="D170" s="420"/>
      <c r="E170" s="421"/>
    </row>
    <row r="171" spans="1:5" ht="15.75">
      <c r="A171" s="418"/>
      <c r="B171" s="419"/>
      <c r="C171" s="420"/>
      <c r="D171" s="420"/>
      <c r="E171" s="420"/>
    </row>
    <row r="172" spans="1:6" ht="15.75">
      <c r="A172" s="463" t="s">
        <v>513</v>
      </c>
      <c r="B172" s="463"/>
      <c r="C172" s="463"/>
      <c r="D172" s="463"/>
      <c r="E172" s="463"/>
      <c r="F172" s="463"/>
    </row>
  </sheetData>
  <sheetProtection/>
  <mergeCells count="72">
    <mergeCell ref="A1:F1"/>
    <mergeCell ref="A2:F2"/>
    <mergeCell ref="A3:F3"/>
    <mergeCell ref="A4:A5"/>
    <mergeCell ref="B4:B5"/>
    <mergeCell ref="C4:C5"/>
    <mergeCell ref="D4:D5"/>
    <mergeCell ref="E4:E5"/>
    <mergeCell ref="A24:F24"/>
    <mergeCell ref="A25:F25"/>
    <mergeCell ref="A27:A28"/>
    <mergeCell ref="B27:B28"/>
    <mergeCell ref="C27:C28"/>
    <mergeCell ref="D27:D28"/>
    <mergeCell ref="E27:E28"/>
    <mergeCell ref="A41:F41"/>
    <mergeCell ref="A43:F43"/>
    <mergeCell ref="A44:F44"/>
    <mergeCell ref="A45:A46"/>
    <mergeCell ref="B45:B46"/>
    <mergeCell ref="C45:C46"/>
    <mergeCell ref="D45:D46"/>
    <mergeCell ref="E45:E46"/>
    <mergeCell ref="A60:F60"/>
    <mergeCell ref="A61:F61"/>
    <mergeCell ref="A62:F62"/>
    <mergeCell ref="A64:A65"/>
    <mergeCell ref="B64:B65"/>
    <mergeCell ref="C64:C65"/>
    <mergeCell ref="D64:D65"/>
    <mergeCell ref="E64:E65"/>
    <mergeCell ref="A78:F78"/>
    <mergeCell ref="A80:F80"/>
    <mergeCell ref="A81:F81"/>
    <mergeCell ref="A83:A84"/>
    <mergeCell ref="B83:B84"/>
    <mergeCell ref="C83:C84"/>
    <mergeCell ref="D83:D84"/>
    <mergeCell ref="E83:E84"/>
    <mergeCell ref="A98:F98"/>
    <mergeCell ref="A99:F99"/>
    <mergeCell ref="A100:F100"/>
    <mergeCell ref="A102:A103"/>
    <mergeCell ref="B102:B103"/>
    <mergeCell ref="C102:C103"/>
    <mergeCell ref="D102:D103"/>
    <mergeCell ref="E102:E103"/>
    <mergeCell ref="A116:F116"/>
    <mergeCell ref="A118:F118"/>
    <mergeCell ref="A119:F119"/>
    <mergeCell ref="A121:A122"/>
    <mergeCell ref="B121:B122"/>
    <mergeCell ref="C121:C122"/>
    <mergeCell ref="D121:D122"/>
    <mergeCell ref="E121:E122"/>
    <mergeCell ref="A135:F135"/>
    <mergeCell ref="A136:F136"/>
    <mergeCell ref="A137:F137"/>
    <mergeCell ref="A139:A140"/>
    <mergeCell ref="B139:B140"/>
    <mergeCell ref="C139:C140"/>
    <mergeCell ref="D139:D140"/>
    <mergeCell ref="E139:E140"/>
    <mergeCell ref="A172:F172"/>
    <mergeCell ref="A153:F153"/>
    <mergeCell ref="A155:F155"/>
    <mergeCell ref="A156:F156"/>
    <mergeCell ref="A158:A159"/>
    <mergeCell ref="B158:B159"/>
    <mergeCell ref="C158:C159"/>
    <mergeCell ref="D158:D159"/>
    <mergeCell ref="E158:E159"/>
  </mergeCells>
  <printOptions/>
  <pageMargins left="0.90551181102362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 outlineLevelCol="1"/>
  <cols>
    <col min="1" max="1" width="10.140625" style="273" customWidth="1"/>
    <col min="2" max="2" width="35.7109375" style="274" customWidth="1"/>
    <col min="3" max="3" width="9.7109375" style="273" hidden="1" customWidth="1" outlineLevel="1"/>
    <col min="4" max="4" width="9.421875" style="273" customWidth="1" collapsed="1"/>
    <col min="5" max="5" width="11.00390625" style="273" customWidth="1"/>
    <col min="6" max="6" width="14.7109375" style="273" customWidth="1"/>
    <col min="7" max="7" width="9.7109375" style="273" customWidth="1"/>
    <col min="8" max="8" width="10.7109375" style="273" customWidth="1"/>
    <col min="9" max="9" width="9.7109375" style="273" bestFit="1" customWidth="1"/>
    <col min="10" max="10" width="12.7109375" style="278" customWidth="1"/>
    <col min="11" max="16384" width="9.140625" style="273" customWidth="1"/>
  </cols>
  <sheetData>
    <row r="1" spans="5:12" ht="14.25">
      <c r="E1" s="457" t="s">
        <v>514</v>
      </c>
      <c r="F1" s="452"/>
      <c r="G1" s="452"/>
      <c r="H1" s="452"/>
      <c r="I1" s="452"/>
      <c r="J1" s="452"/>
      <c r="K1" s="452"/>
      <c r="L1" s="452"/>
    </row>
    <row r="2" spans="1:12" ht="14.25">
      <c r="A2" s="275"/>
      <c r="E2" s="458" t="s">
        <v>460</v>
      </c>
      <c r="F2" s="452"/>
      <c r="G2" s="452"/>
      <c r="H2" s="452"/>
      <c r="I2" s="452"/>
      <c r="J2" s="452"/>
      <c r="K2" s="452"/>
      <c r="L2" s="452"/>
    </row>
    <row r="3" spans="1:12" ht="14.25">
      <c r="A3" s="275"/>
      <c r="E3" s="458" t="s">
        <v>458</v>
      </c>
      <c r="F3" s="452"/>
      <c r="G3" s="452"/>
      <c r="H3" s="452"/>
      <c r="I3" s="452"/>
      <c r="J3" s="452"/>
      <c r="K3" s="452"/>
      <c r="L3" s="452"/>
    </row>
    <row r="4" spans="1:5" ht="15">
      <c r="A4" s="275"/>
      <c r="E4" s="275"/>
    </row>
    <row r="5" spans="1:4" ht="20.25">
      <c r="A5" s="276" t="s">
        <v>515</v>
      </c>
      <c r="B5" s="276"/>
      <c r="C5" s="276"/>
      <c r="D5" s="276"/>
    </row>
    <row r="6" spans="1:4" ht="15.75" thickBot="1">
      <c r="A6" s="275"/>
      <c r="B6" s="380"/>
      <c r="C6" s="275"/>
      <c r="D6" s="275"/>
    </row>
    <row r="7" spans="1:10" ht="97.5" customHeight="1" thickBot="1">
      <c r="A7" s="279" t="s">
        <v>10</v>
      </c>
      <c r="B7" s="280" t="s">
        <v>9</v>
      </c>
      <c r="C7" s="429" t="s">
        <v>516</v>
      </c>
      <c r="D7" s="430" t="s">
        <v>517</v>
      </c>
      <c r="E7" s="431" t="s">
        <v>416</v>
      </c>
      <c r="F7" s="432" t="s">
        <v>518</v>
      </c>
      <c r="G7" s="433" t="s">
        <v>420</v>
      </c>
      <c r="H7" s="434" t="s">
        <v>421</v>
      </c>
      <c r="I7" s="434" t="s">
        <v>425</v>
      </c>
      <c r="J7" s="283" t="s">
        <v>428</v>
      </c>
    </row>
    <row r="8" spans="1:10" ht="15" thickBot="1">
      <c r="A8" s="289" t="s">
        <v>519</v>
      </c>
      <c r="B8" s="290" t="s">
        <v>520</v>
      </c>
      <c r="C8" s="291">
        <v>16087</v>
      </c>
      <c r="D8" s="291">
        <v>7500</v>
      </c>
      <c r="E8" s="291">
        <v>1000</v>
      </c>
      <c r="F8" s="291"/>
      <c r="G8" s="291">
        <v>1500</v>
      </c>
      <c r="H8" s="291">
        <v>800</v>
      </c>
      <c r="I8" s="291">
        <v>200</v>
      </c>
      <c r="J8" s="292">
        <f>SUM(D8:I8)</f>
        <v>11000</v>
      </c>
    </row>
    <row r="9" spans="1:10" ht="18.75" customHeight="1" thickBot="1">
      <c r="A9" s="321"/>
      <c r="B9" s="322" t="s">
        <v>51</v>
      </c>
      <c r="C9" s="323">
        <f aca="true" t="shared" si="0" ref="C9:I9">SUM(C8)</f>
        <v>16087</v>
      </c>
      <c r="D9" s="323">
        <f t="shared" si="0"/>
        <v>7500</v>
      </c>
      <c r="E9" s="323">
        <f t="shared" si="0"/>
        <v>1000</v>
      </c>
      <c r="F9" s="323">
        <f t="shared" si="0"/>
        <v>0</v>
      </c>
      <c r="G9" s="323">
        <f t="shared" si="0"/>
        <v>1500</v>
      </c>
      <c r="H9" s="323">
        <f t="shared" si="0"/>
        <v>800</v>
      </c>
      <c r="I9" s="323">
        <f t="shared" si="0"/>
        <v>200</v>
      </c>
      <c r="J9" s="324">
        <f>SUM(D9:I9)</f>
        <v>11000</v>
      </c>
    </row>
    <row r="10" spans="1:10" ht="14.25">
      <c r="A10" s="326" t="s">
        <v>471</v>
      </c>
      <c r="B10" s="327" t="s">
        <v>430</v>
      </c>
      <c r="C10" s="435">
        <v>13766</v>
      </c>
      <c r="D10" s="328">
        <v>5360</v>
      </c>
      <c r="E10" s="328">
        <v>263</v>
      </c>
      <c r="F10" s="328">
        <v>2001</v>
      </c>
      <c r="G10" s="328">
        <v>275</v>
      </c>
      <c r="H10" s="328">
        <v>2387</v>
      </c>
      <c r="I10" s="328">
        <v>174</v>
      </c>
      <c r="J10" s="292">
        <f>SUM(D10:I10)</f>
        <v>10460</v>
      </c>
    </row>
    <row r="11" spans="1:10" ht="15">
      <c r="A11" s="329"/>
      <c r="B11" s="330" t="s">
        <v>54</v>
      </c>
      <c r="C11" s="331">
        <f aca="true" t="shared" si="1" ref="C11:I11">SUM(C9:C10)</f>
        <v>29853</v>
      </c>
      <c r="D11" s="331">
        <f t="shared" si="1"/>
        <v>12860</v>
      </c>
      <c r="E11" s="331">
        <f t="shared" si="1"/>
        <v>1263</v>
      </c>
      <c r="F11" s="331">
        <f t="shared" si="1"/>
        <v>2001</v>
      </c>
      <c r="G11" s="331">
        <f t="shared" si="1"/>
        <v>1775</v>
      </c>
      <c r="H11" s="331">
        <f t="shared" si="1"/>
        <v>3187</v>
      </c>
      <c r="I11" s="331">
        <f t="shared" si="1"/>
        <v>374</v>
      </c>
      <c r="J11" s="287">
        <f>SUM(D11:I11)</f>
        <v>21460</v>
      </c>
    </row>
    <row r="12" spans="2:6" ht="15">
      <c r="B12" s="332"/>
      <c r="C12" s="325"/>
      <c r="F12" s="333"/>
    </row>
    <row r="13" spans="1:6" ht="15">
      <c r="A13" s="459" t="s">
        <v>23</v>
      </c>
      <c r="B13" s="460"/>
      <c r="C13" s="325"/>
      <c r="F13" s="333" t="s">
        <v>24</v>
      </c>
    </row>
    <row r="14" spans="1:9" ht="51" customHeight="1" thickBot="1">
      <c r="A14" s="461" t="s">
        <v>521</v>
      </c>
      <c r="B14" s="461"/>
      <c r="C14" s="461"/>
      <c r="D14" s="461"/>
      <c r="E14" s="461"/>
      <c r="F14" s="461"/>
      <c r="G14" s="461"/>
      <c r="H14" s="461"/>
      <c r="I14" s="461"/>
    </row>
    <row r="15" spans="1:10" ht="114.75" thickBot="1">
      <c r="A15" s="279" t="s">
        <v>10</v>
      </c>
      <c r="B15" s="280" t="s">
        <v>9</v>
      </c>
      <c r="C15" s="429" t="s">
        <v>516</v>
      </c>
      <c r="D15" s="430" t="s">
        <v>517</v>
      </c>
      <c r="E15" s="431" t="s">
        <v>416</v>
      </c>
      <c r="F15" s="432" t="s">
        <v>518</v>
      </c>
      <c r="G15" s="433" t="s">
        <v>420</v>
      </c>
      <c r="H15" s="434" t="s">
        <v>421</v>
      </c>
      <c r="I15" s="434" t="s">
        <v>425</v>
      </c>
      <c r="J15" s="283" t="s">
        <v>428</v>
      </c>
    </row>
    <row r="16" spans="1:10" ht="15.75" thickBot="1">
      <c r="A16" s="436" t="s">
        <v>56</v>
      </c>
      <c r="B16" s="335" t="s">
        <v>57</v>
      </c>
      <c r="C16" s="336"/>
      <c r="D16" s="336"/>
      <c r="E16" s="336"/>
      <c r="F16" s="336"/>
      <c r="G16" s="336"/>
      <c r="H16" s="336"/>
      <c r="I16" s="336"/>
      <c r="J16" s="324">
        <f aca="true" t="shared" si="2" ref="J16:J24">SUM(D16:I16)</f>
        <v>0</v>
      </c>
    </row>
    <row r="17" spans="1:10" ht="15.75" thickBot="1">
      <c r="A17" s="334" t="s">
        <v>1</v>
      </c>
      <c r="B17" s="335" t="s">
        <v>70</v>
      </c>
      <c r="C17" s="336"/>
      <c r="D17" s="336"/>
      <c r="E17" s="336"/>
      <c r="F17" s="336"/>
      <c r="G17" s="336"/>
      <c r="H17" s="336"/>
      <c r="I17" s="336"/>
      <c r="J17" s="324">
        <f t="shared" si="2"/>
        <v>0</v>
      </c>
    </row>
    <row r="18" spans="1:10" ht="15.75" thickBot="1">
      <c r="A18" s="334" t="s">
        <v>18</v>
      </c>
      <c r="B18" s="337" t="s">
        <v>83</v>
      </c>
      <c r="C18" s="336"/>
      <c r="D18" s="336"/>
      <c r="E18" s="336"/>
      <c r="F18" s="336"/>
      <c r="G18" s="336"/>
      <c r="H18" s="336"/>
      <c r="I18" s="336"/>
      <c r="J18" s="324">
        <f t="shared" si="2"/>
        <v>0</v>
      </c>
    </row>
    <row r="19" spans="1:10" ht="30.75" thickBot="1">
      <c r="A19" s="334" t="s">
        <v>3</v>
      </c>
      <c r="B19" s="337" t="s">
        <v>88</v>
      </c>
      <c r="C19" s="336">
        <v>744</v>
      </c>
      <c r="D19" s="336"/>
      <c r="E19" s="336">
        <v>1263</v>
      </c>
      <c r="F19" s="336"/>
      <c r="G19" s="336"/>
      <c r="H19" s="336"/>
      <c r="I19" s="336"/>
      <c r="J19" s="324">
        <f t="shared" si="2"/>
        <v>1263</v>
      </c>
    </row>
    <row r="20" spans="1:10" ht="15.75" thickBot="1">
      <c r="A20" s="437" t="s">
        <v>6</v>
      </c>
      <c r="B20" s="438" t="s">
        <v>101</v>
      </c>
      <c r="C20" s="336">
        <v>1385</v>
      </c>
      <c r="D20" s="336">
        <v>3319</v>
      </c>
      <c r="E20" s="336"/>
      <c r="F20" s="336">
        <v>2001</v>
      </c>
      <c r="G20" s="336"/>
      <c r="H20" s="336"/>
      <c r="I20" s="336">
        <v>299</v>
      </c>
      <c r="J20" s="324">
        <f t="shared" si="2"/>
        <v>5619</v>
      </c>
    </row>
    <row r="21" spans="1:10" ht="15.75" thickBot="1">
      <c r="A21" s="334" t="s">
        <v>114</v>
      </c>
      <c r="B21" s="337" t="s">
        <v>0</v>
      </c>
      <c r="C21" s="336">
        <v>8804</v>
      </c>
      <c r="D21" s="336">
        <v>8220</v>
      </c>
      <c r="E21" s="336"/>
      <c r="F21" s="336"/>
      <c r="G21" s="336">
        <v>1775</v>
      </c>
      <c r="H21" s="336"/>
      <c r="I21" s="336">
        <v>75</v>
      </c>
      <c r="J21" s="324">
        <f t="shared" si="2"/>
        <v>10070</v>
      </c>
    </row>
    <row r="22" spans="1:10" ht="15.75" thickBot="1">
      <c r="A22" s="437" t="s">
        <v>7</v>
      </c>
      <c r="B22" s="438" t="s">
        <v>132</v>
      </c>
      <c r="C22" s="336">
        <v>8460</v>
      </c>
      <c r="D22" s="336">
        <v>1321</v>
      </c>
      <c r="E22" s="336"/>
      <c r="F22" s="336"/>
      <c r="G22" s="336"/>
      <c r="H22" s="336">
        <v>3187</v>
      </c>
      <c r="I22" s="336"/>
      <c r="J22" s="324">
        <f t="shared" si="2"/>
        <v>4508</v>
      </c>
    </row>
    <row r="23" spans="1:10" ht="15.75" thickBot="1">
      <c r="A23" s="339"/>
      <c r="B23" s="340" t="s">
        <v>21</v>
      </c>
      <c r="C23" s="336">
        <f aca="true" t="shared" si="3" ref="C23:I23">SUM(C16:C22)</f>
        <v>19393</v>
      </c>
      <c r="D23" s="336">
        <f t="shared" si="3"/>
        <v>12860</v>
      </c>
      <c r="E23" s="336">
        <f t="shared" si="3"/>
        <v>1263</v>
      </c>
      <c r="F23" s="336">
        <f t="shared" si="3"/>
        <v>2001</v>
      </c>
      <c r="G23" s="336">
        <f t="shared" si="3"/>
        <v>1775</v>
      </c>
      <c r="H23" s="336">
        <f t="shared" si="3"/>
        <v>3187</v>
      </c>
      <c r="I23" s="336">
        <f t="shared" si="3"/>
        <v>374</v>
      </c>
      <c r="J23" s="324">
        <f t="shared" si="2"/>
        <v>21460</v>
      </c>
    </row>
    <row r="24" spans="1:10" ht="15">
      <c r="A24" s="273" t="s">
        <v>471</v>
      </c>
      <c r="B24" s="346" t="s">
        <v>474</v>
      </c>
      <c r="C24" s="439">
        <v>10460</v>
      </c>
      <c r="D24" s="325"/>
      <c r="J24" s="345">
        <f t="shared" si="2"/>
        <v>0</v>
      </c>
    </row>
    <row r="25" spans="2:10" ht="15">
      <c r="B25" s="440"/>
      <c r="C25" s="348"/>
      <c r="D25" s="348"/>
      <c r="E25" s="348"/>
      <c r="F25" s="348"/>
      <c r="G25" s="348"/>
      <c r="H25" s="348"/>
      <c r="I25" s="348"/>
      <c r="J25" s="345"/>
    </row>
    <row r="26" spans="1:6" ht="15">
      <c r="A26" s="459" t="s">
        <v>23</v>
      </c>
      <c r="B26" s="460"/>
      <c r="C26" s="325"/>
      <c r="F26" s="333" t="s">
        <v>24</v>
      </c>
    </row>
    <row r="27" spans="1:6" ht="15">
      <c r="A27" s="332"/>
      <c r="B27" s="272"/>
      <c r="C27" s="325"/>
      <c r="F27" s="333"/>
    </row>
    <row r="28" spans="1:6" ht="15">
      <c r="A28" s="332"/>
      <c r="B28" s="272"/>
      <c r="C28" s="325"/>
      <c r="F28" s="333"/>
    </row>
    <row r="29" spans="1:6" ht="15">
      <c r="A29" s="332"/>
      <c r="B29" s="272"/>
      <c r="C29" s="325"/>
      <c r="F29" s="333"/>
    </row>
    <row r="30" spans="1:7" ht="42" customHeight="1" thickBot="1">
      <c r="A30" s="471" t="s">
        <v>522</v>
      </c>
      <c r="B30" s="471"/>
      <c r="C30" s="471"/>
      <c r="D30" s="471"/>
      <c r="E30" s="471"/>
      <c r="F30" s="471"/>
      <c r="G30" s="471"/>
    </row>
    <row r="31" spans="1:10" ht="90" customHeight="1" thickBot="1">
      <c r="A31" s="279" t="s">
        <v>10</v>
      </c>
      <c r="B31" s="280" t="s">
        <v>9</v>
      </c>
      <c r="C31" s="429" t="s">
        <v>516</v>
      </c>
      <c r="D31" s="430" t="s">
        <v>517</v>
      </c>
      <c r="E31" s="431" t="s">
        <v>416</v>
      </c>
      <c r="F31" s="432" t="s">
        <v>518</v>
      </c>
      <c r="G31" s="433" t="s">
        <v>420</v>
      </c>
      <c r="H31" s="434" t="s">
        <v>421</v>
      </c>
      <c r="I31" s="434" t="s">
        <v>425</v>
      </c>
      <c r="J31" s="283" t="s">
        <v>428</v>
      </c>
    </row>
    <row r="32" spans="1:10" ht="15">
      <c r="A32" s="349">
        <v>1100</v>
      </c>
      <c r="B32" s="350" t="s">
        <v>475</v>
      </c>
      <c r="C32" s="441">
        <v>418</v>
      </c>
      <c r="D32" s="351"/>
      <c r="E32" s="351"/>
      <c r="F32" s="351"/>
      <c r="G32" s="351"/>
      <c r="H32" s="351"/>
      <c r="I32" s="351"/>
      <c r="J32" s="353">
        <f>SUM(D32:I32)</f>
        <v>0</v>
      </c>
    </row>
    <row r="33" spans="1:10" ht="60.75" thickBot="1">
      <c r="A33" s="354">
        <v>1200</v>
      </c>
      <c r="B33" s="355" t="s">
        <v>476</v>
      </c>
      <c r="C33" s="442">
        <v>96</v>
      </c>
      <c r="D33" s="317"/>
      <c r="E33" s="317"/>
      <c r="F33" s="317"/>
      <c r="G33" s="317"/>
      <c r="H33" s="317"/>
      <c r="I33" s="317"/>
      <c r="J33" s="356">
        <f>SUM(D33:I33)</f>
        <v>0</v>
      </c>
    </row>
    <row r="34" spans="1:10" ht="15.75" thickBot="1">
      <c r="A34" s="357">
        <v>2000</v>
      </c>
      <c r="B34" s="358" t="s">
        <v>215</v>
      </c>
      <c r="C34" s="359">
        <f>SUM(C35+C36+C37+C38)</f>
        <v>10915</v>
      </c>
      <c r="D34" s="359">
        <f aca="true" t="shared" si="4" ref="D34:J34">SUM(D35:D38)</f>
        <v>10140</v>
      </c>
      <c r="E34" s="359">
        <f t="shared" si="4"/>
        <v>1263</v>
      </c>
      <c r="F34" s="359">
        <f t="shared" si="4"/>
        <v>2001</v>
      </c>
      <c r="G34" s="359">
        <f t="shared" si="4"/>
        <v>1775</v>
      </c>
      <c r="H34" s="359">
        <f t="shared" si="4"/>
        <v>3187</v>
      </c>
      <c r="I34" s="359">
        <f t="shared" si="4"/>
        <v>75</v>
      </c>
      <c r="J34" s="361">
        <f t="shared" si="4"/>
        <v>18441</v>
      </c>
    </row>
    <row r="35" spans="1:10" ht="15">
      <c r="A35" s="362">
        <v>2200</v>
      </c>
      <c r="B35" s="363" t="s">
        <v>216</v>
      </c>
      <c r="C35" s="364">
        <v>5227</v>
      </c>
      <c r="D35" s="443">
        <v>8821</v>
      </c>
      <c r="E35" s="364"/>
      <c r="F35" s="364"/>
      <c r="G35" s="364">
        <v>275</v>
      </c>
      <c r="H35" s="364">
        <v>2437</v>
      </c>
      <c r="I35" s="364">
        <v>75</v>
      </c>
      <c r="J35" s="366">
        <f aca="true" t="shared" si="5" ref="J35:J41">SUM(D35:I35)</f>
        <v>11608</v>
      </c>
    </row>
    <row r="36" spans="1:10" ht="45">
      <c r="A36" s="367">
        <v>2300</v>
      </c>
      <c r="B36" s="368" t="s">
        <v>217</v>
      </c>
      <c r="C36" s="373">
        <v>5688</v>
      </c>
      <c r="D36" s="369">
        <v>1319</v>
      </c>
      <c r="E36" s="369">
        <v>1263</v>
      </c>
      <c r="F36" s="369">
        <v>2001</v>
      </c>
      <c r="G36" s="369">
        <v>1500</v>
      </c>
      <c r="H36" s="369">
        <v>750</v>
      </c>
      <c r="I36" s="369"/>
      <c r="J36" s="371">
        <f t="shared" si="5"/>
        <v>6833</v>
      </c>
    </row>
    <row r="37" spans="1:10" ht="15">
      <c r="A37" s="367">
        <v>2400</v>
      </c>
      <c r="B37" s="368" t="s">
        <v>218</v>
      </c>
      <c r="C37" s="373"/>
      <c r="D37" s="369"/>
      <c r="E37" s="369"/>
      <c r="F37" s="369"/>
      <c r="G37" s="369"/>
      <c r="H37" s="369"/>
      <c r="I37" s="369"/>
      <c r="J37" s="372">
        <f t="shared" si="5"/>
        <v>0</v>
      </c>
    </row>
    <row r="38" spans="1:10" ht="30">
      <c r="A38" s="367">
        <v>2500</v>
      </c>
      <c r="B38" s="368" t="s">
        <v>219</v>
      </c>
      <c r="C38" s="373"/>
      <c r="D38" s="369"/>
      <c r="E38" s="369"/>
      <c r="F38" s="369"/>
      <c r="G38" s="369"/>
      <c r="H38" s="369"/>
      <c r="I38" s="369"/>
      <c r="J38" s="372">
        <f t="shared" si="5"/>
        <v>0</v>
      </c>
    </row>
    <row r="39" spans="1:10" ht="45">
      <c r="A39" s="367">
        <v>3200</v>
      </c>
      <c r="B39" s="368" t="s">
        <v>477</v>
      </c>
      <c r="C39" s="373"/>
      <c r="D39" s="369"/>
      <c r="E39" s="369"/>
      <c r="F39" s="369"/>
      <c r="G39" s="369"/>
      <c r="H39" s="369"/>
      <c r="I39" s="369"/>
      <c r="J39" s="372">
        <f t="shared" si="5"/>
        <v>0</v>
      </c>
    </row>
    <row r="40" spans="1:10" ht="15">
      <c r="A40" s="367">
        <v>5200</v>
      </c>
      <c r="B40" s="368" t="s">
        <v>222</v>
      </c>
      <c r="C40" s="373">
        <v>6135</v>
      </c>
      <c r="D40" s="369">
        <v>2720</v>
      </c>
      <c r="E40" s="369"/>
      <c r="F40" s="369"/>
      <c r="G40" s="369"/>
      <c r="H40" s="369"/>
      <c r="I40" s="369">
        <v>299</v>
      </c>
      <c r="J40" s="372">
        <f t="shared" si="5"/>
        <v>3019</v>
      </c>
    </row>
    <row r="41" spans="1:10" ht="30.75" thickBot="1">
      <c r="A41" s="367">
        <v>6200</v>
      </c>
      <c r="B41" s="368" t="s">
        <v>523</v>
      </c>
      <c r="C41" s="373">
        <v>1829</v>
      </c>
      <c r="D41" s="369"/>
      <c r="E41" s="369"/>
      <c r="F41" s="369"/>
      <c r="G41" s="369"/>
      <c r="H41" s="369"/>
      <c r="I41" s="369"/>
      <c r="J41" s="372">
        <f t="shared" si="5"/>
        <v>0</v>
      </c>
    </row>
    <row r="42" spans="1:10" ht="15.75" thickBot="1">
      <c r="A42" s="378"/>
      <c r="B42" s="379" t="s">
        <v>225</v>
      </c>
      <c r="C42" s="359">
        <f aca="true" t="shared" si="6" ref="C42:J42">SUM(C32:C34,C39:C41)</f>
        <v>19393</v>
      </c>
      <c r="D42" s="359">
        <f t="shared" si="6"/>
        <v>12860</v>
      </c>
      <c r="E42" s="359">
        <f t="shared" si="6"/>
        <v>1263</v>
      </c>
      <c r="F42" s="359">
        <f t="shared" si="6"/>
        <v>2001</v>
      </c>
      <c r="G42" s="359">
        <f t="shared" si="6"/>
        <v>1775</v>
      </c>
      <c r="H42" s="359">
        <f t="shared" si="6"/>
        <v>3187</v>
      </c>
      <c r="I42" s="359">
        <f t="shared" si="6"/>
        <v>374</v>
      </c>
      <c r="J42" s="361">
        <f t="shared" si="6"/>
        <v>21460</v>
      </c>
    </row>
    <row r="43" spans="1:5" ht="15">
      <c r="A43" s="344"/>
      <c r="B43" s="444"/>
      <c r="C43" s="445"/>
      <c r="D43" s="343"/>
      <c r="E43" s="344"/>
    </row>
    <row r="44" spans="1:6" ht="15">
      <c r="A44" s="472" t="s">
        <v>23</v>
      </c>
      <c r="B44" s="460"/>
      <c r="C44" s="445"/>
      <c r="D44" s="343"/>
      <c r="E44" s="344"/>
      <c r="F44" s="333" t="s">
        <v>24</v>
      </c>
    </row>
    <row r="45" ht="15">
      <c r="C45" s="446"/>
    </row>
    <row r="46" ht="15">
      <c r="C46" s="446"/>
    </row>
    <row r="47" ht="15">
      <c r="C47" s="446"/>
    </row>
    <row r="48" ht="15">
      <c r="C48" s="446"/>
    </row>
    <row r="49" ht="15">
      <c r="C49" s="446"/>
    </row>
    <row r="50" ht="15">
      <c r="C50" s="446"/>
    </row>
    <row r="51" spans="1:4" ht="20.25">
      <c r="A51" s="456"/>
      <c r="B51" s="456"/>
      <c r="C51" s="456"/>
      <c r="D51" s="456"/>
    </row>
    <row r="52" spans="1:4" ht="15">
      <c r="A52" s="275"/>
      <c r="B52" s="380"/>
      <c r="C52" s="275"/>
      <c r="D52" s="275"/>
    </row>
    <row r="53" spans="1:5" ht="15">
      <c r="A53" s="381"/>
      <c r="B53" s="382"/>
      <c r="C53" s="447"/>
      <c r="D53" s="383"/>
      <c r="E53" s="288"/>
    </row>
    <row r="54" spans="1:4" ht="15">
      <c r="A54" s="381"/>
      <c r="B54" s="382"/>
      <c r="C54" s="384"/>
      <c r="D54" s="384"/>
    </row>
    <row r="55" spans="2:3" ht="15">
      <c r="B55" s="332"/>
      <c r="C55" s="325"/>
    </row>
    <row r="56" spans="2:3" ht="15">
      <c r="B56" s="332"/>
      <c r="C56" s="325"/>
    </row>
    <row r="57" spans="2:3" ht="15">
      <c r="B57" s="332"/>
      <c r="C57" s="325"/>
    </row>
    <row r="58" spans="1:3" ht="15">
      <c r="A58" s="381"/>
      <c r="B58" s="382"/>
      <c r="C58" s="384"/>
    </row>
    <row r="59" ht="15">
      <c r="C59" s="446"/>
    </row>
    <row r="60" ht="15">
      <c r="C60" s="446"/>
    </row>
    <row r="61" ht="15">
      <c r="C61" s="446"/>
    </row>
    <row r="62" ht="15">
      <c r="C62" s="446"/>
    </row>
    <row r="63" ht="15">
      <c r="C63" s="446"/>
    </row>
    <row r="64" ht="15">
      <c r="C64" s="446"/>
    </row>
    <row r="65" ht="15">
      <c r="C65" s="446"/>
    </row>
    <row r="66" ht="15">
      <c r="C66" s="446"/>
    </row>
    <row r="67" ht="15">
      <c r="C67" s="446"/>
    </row>
    <row r="68" ht="15">
      <c r="C68" s="446"/>
    </row>
    <row r="69" ht="15">
      <c r="C69" s="446"/>
    </row>
    <row r="70" ht="15">
      <c r="C70" s="446"/>
    </row>
    <row r="71" ht="15">
      <c r="C71" s="446"/>
    </row>
    <row r="72" ht="15">
      <c r="C72" s="446"/>
    </row>
    <row r="73" ht="15">
      <c r="C73" s="446"/>
    </row>
  </sheetData>
  <sheetProtection/>
  <mergeCells count="9">
    <mergeCell ref="A30:G30"/>
    <mergeCell ref="A44:B44"/>
    <mergeCell ref="A51:D51"/>
    <mergeCell ref="E1:L1"/>
    <mergeCell ref="E2:L2"/>
    <mergeCell ref="E3:L3"/>
    <mergeCell ref="A13:B13"/>
    <mergeCell ref="A14:I14"/>
    <mergeCell ref="A26:B26"/>
  </mergeCells>
  <printOptions/>
  <pageMargins left="0.7874015748031497" right="0.5511811023622047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LAusjuka</cp:lastModifiedBy>
  <cp:lastPrinted>2013-07-19T10:03:48Z</cp:lastPrinted>
  <dcterms:created xsi:type="dcterms:W3CDTF">2006-04-20T10:34:24Z</dcterms:created>
  <dcterms:modified xsi:type="dcterms:W3CDTF">2013-12-04T11:48:38Z</dcterms:modified>
  <cp:category/>
  <cp:version/>
  <cp:contentType/>
  <cp:contentStatus/>
</cp:coreProperties>
</file>