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Pamatbudžets   " sheetId="1" r:id="rId1"/>
    <sheet name="Ieņēmumi" sheetId="2" r:id="rId2"/>
    <sheet name="Izdevumi" sheetId="3" r:id="rId3"/>
    <sheet name="Mērķdot. " sheetId="4" r:id="rId4"/>
    <sheet name="Fin. pagastu pārv." sheetId="5" r:id="rId5"/>
    <sheet name="Sheet1" sheetId="6" r:id="rId6"/>
    <sheet name="Sheet2" sheetId="7" r:id="rId7"/>
    <sheet name="Sheet3" sheetId="8" r:id="rId8"/>
  </sheets>
  <externalReferences>
    <externalReference r:id="rId11"/>
  </externalReferences>
  <definedNames>
    <definedName name="_xlnm.Print_Titles" localSheetId="0">'Pamatbudžets   '!$7:$7</definedName>
  </definedNames>
  <calcPr fullCalcOnLoad="1"/>
</workbook>
</file>

<file path=xl/sharedStrings.xml><?xml version="1.0" encoding="utf-8"?>
<sst xmlns="http://schemas.openxmlformats.org/spreadsheetml/2006/main" count="1707" uniqueCount="841">
  <si>
    <t>Papildus finansējums konkrētiem mērķiem</t>
  </si>
  <si>
    <t>PA "Ogres kultūras centrs" finansējums</t>
  </si>
  <si>
    <t>Iestāde</t>
  </si>
  <si>
    <t>Pamatojums</t>
  </si>
  <si>
    <t>Pieprasīts</t>
  </si>
  <si>
    <t>Piezīmes</t>
  </si>
  <si>
    <t>Klasifikācijas kods</t>
  </si>
  <si>
    <t>Sociālais nodoklis</t>
  </si>
  <si>
    <t>Izglītība</t>
  </si>
  <si>
    <t>04.000</t>
  </si>
  <si>
    <t>PII</t>
  </si>
  <si>
    <t>05.200</t>
  </si>
  <si>
    <t>06.000</t>
  </si>
  <si>
    <t>07.000</t>
  </si>
  <si>
    <t>Kultūra</t>
  </si>
  <si>
    <t>08.000</t>
  </si>
  <si>
    <t>10.000</t>
  </si>
  <si>
    <t>Sporta centrs</t>
  </si>
  <si>
    <t>1100</t>
  </si>
  <si>
    <t>1200</t>
  </si>
  <si>
    <t>Kopā uz korekcijām:</t>
  </si>
  <si>
    <t>Iekšējas korekcijas</t>
  </si>
  <si>
    <t xml:space="preserve">   Ieņēmuma pozīcijas nosaukums             </t>
  </si>
  <si>
    <t>Kods</t>
  </si>
  <si>
    <t>KOPĀ :</t>
  </si>
  <si>
    <t>Pielikums Nr.1</t>
  </si>
  <si>
    <t>Ogres novada domes</t>
  </si>
  <si>
    <t>4.1.1.0.</t>
  </si>
  <si>
    <t>4.1.2.0.</t>
  </si>
  <si>
    <t>5.4.1.0.</t>
  </si>
  <si>
    <t>Pašvaldību nodevas</t>
  </si>
  <si>
    <t>9.5.0.0.</t>
  </si>
  <si>
    <t>05.000</t>
  </si>
  <si>
    <t>Pabalsts maznodrošinātām ģimenēm</t>
  </si>
  <si>
    <t>Pašvaldības policija</t>
  </si>
  <si>
    <t>Kopā izdevumi:</t>
  </si>
  <si>
    <t>Kredīta atmaksa</t>
  </si>
  <si>
    <t>S.Velberga</t>
  </si>
  <si>
    <t>Paskaidrojums pie budžeta grozījumiem</t>
  </si>
  <si>
    <t>Nodokļu ieņēmumi</t>
  </si>
  <si>
    <t>1.1.1.0.</t>
  </si>
  <si>
    <t>1.1.1.1.</t>
  </si>
  <si>
    <t>1.1.1.2.</t>
  </si>
  <si>
    <t>4.1.0.0.</t>
  </si>
  <si>
    <t>Nekustamā īpašuma nodoklis</t>
  </si>
  <si>
    <t>Nekustamā īpašuma nodoklis par zemi</t>
  </si>
  <si>
    <t xml:space="preserve">Nekustamā īpašuma nodoklis par ēkām </t>
  </si>
  <si>
    <t>Azartspēļu nodoklis</t>
  </si>
  <si>
    <t>Nenodokļu ieņēmumi</t>
  </si>
  <si>
    <t>9.4.0.0.</t>
  </si>
  <si>
    <t>Valsts nodevas, kuras ieskaita pašvaldību budžetā</t>
  </si>
  <si>
    <t>Pārējie nenodokļu ieņēmumi</t>
  </si>
  <si>
    <t>18.0.0.0.</t>
  </si>
  <si>
    <t>Valsts budžeta transferti</t>
  </si>
  <si>
    <t>19.0.0.0.</t>
  </si>
  <si>
    <t>Pašvaldību budžetu transferti</t>
  </si>
  <si>
    <t>19.2.0.0.</t>
  </si>
  <si>
    <t>19.3.0.0.</t>
  </si>
  <si>
    <t>21.0.0.0.</t>
  </si>
  <si>
    <t>Budžeta iestāžu ieņēmumi</t>
  </si>
  <si>
    <t>21.3.0.0.</t>
  </si>
  <si>
    <t>21.3.8.0.</t>
  </si>
  <si>
    <t>Ieņēmumi par nomu un īri</t>
  </si>
  <si>
    <t>21.3.9.0.</t>
  </si>
  <si>
    <t>Ieņēmumi par pārējiem budžeta iestāžu maksas pakalpojumiem</t>
  </si>
  <si>
    <t>KOPĀ IEŅĒMUMI</t>
  </si>
  <si>
    <t>Valsts kases kredīts</t>
  </si>
  <si>
    <t>Kopā ar kredītresursiem:</t>
  </si>
  <si>
    <t>Kopā ar budžeta atlikumu</t>
  </si>
  <si>
    <t>Pielikums Nr.2</t>
  </si>
  <si>
    <t>01.000</t>
  </si>
  <si>
    <t>Vispārējie valdības dienesti</t>
  </si>
  <si>
    <t>01.720</t>
  </si>
  <si>
    <t>Pašvaldību budžetu parāda darījumi</t>
  </si>
  <si>
    <t>01.721</t>
  </si>
  <si>
    <t xml:space="preserve">       Pašvaldību budžetu valsts iekšējā parāda darījumi</t>
  </si>
  <si>
    <t>01.830</t>
  </si>
  <si>
    <t>Vispārēja rakstura transferti no pašvaldību budžeta pašvaldību budžetam</t>
  </si>
  <si>
    <t xml:space="preserve">       Norēķini ar citu pašvaldību izglītības iestādēm</t>
  </si>
  <si>
    <t>01.890</t>
  </si>
  <si>
    <t>03.000</t>
  </si>
  <si>
    <t>Sabiedriskā kārtība un drošība</t>
  </si>
  <si>
    <t>03.600</t>
  </si>
  <si>
    <t>Ekonomiskā darbība</t>
  </si>
  <si>
    <t>04.111</t>
  </si>
  <si>
    <t>Vispārējas ekonomiskas darbības vadība</t>
  </si>
  <si>
    <t>04.210</t>
  </si>
  <si>
    <t>04.220</t>
  </si>
  <si>
    <t>Mežsaimniecība un medniecība</t>
  </si>
  <si>
    <t>04.510</t>
  </si>
  <si>
    <t>Autotransports</t>
  </si>
  <si>
    <t xml:space="preserve">       Ceļu būvniecībai un remontiem</t>
  </si>
  <si>
    <t>04.600</t>
  </si>
  <si>
    <t>Sakari</t>
  </si>
  <si>
    <t>Vides aizsardzība</t>
  </si>
  <si>
    <t>05.100</t>
  </si>
  <si>
    <t>Atkritumu apsaimniekošana</t>
  </si>
  <si>
    <t>Notekūdeņu apsaimniekošana</t>
  </si>
  <si>
    <t xml:space="preserve">       Notekūdeņu (savākšana un attīrīšana)</t>
  </si>
  <si>
    <t>Pašvaldības teritoriju un mājokļu apsaimniekošana</t>
  </si>
  <si>
    <t>06.300</t>
  </si>
  <si>
    <t>Ūdensapgāde</t>
  </si>
  <si>
    <t>06.400</t>
  </si>
  <si>
    <t>Ielu apgaismošana</t>
  </si>
  <si>
    <t>06.600</t>
  </si>
  <si>
    <t>Pārējā citur nekvalificētā pašvaldību teritoriju un mājokļu apsaimniekošanas darbība</t>
  </si>
  <si>
    <t>Veselība</t>
  </si>
  <si>
    <t>07.210</t>
  </si>
  <si>
    <t>Ambulatorās ārstniecības iestādes</t>
  </si>
  <si>
    <t>Atpūta, kultūra un reliģija</t>
  </si>
  <si>
    <t>08.100</t>
  </si>
  <si>
    <t>Atpūtas un sporta  pasākumi</t>
  </si>
  <si>
    <t xml:space="preserve">       Sporta pasākumu rīkošanai</t>
  </si>
  <si>
    <t xml:space="preserve">       Komandas vai individuālu sacensību dalībnieku atbalstam</t>
  </si>
  <si>
    <t>08.200</t>
  </si>
  <si>
    <t>08.230</t>
  </si>
  <si>
    <t>08.290</t>
  </si>
  <si>
    <t>Televīzija</t>
  </si>
  <si>
    <t>Izdevniecība ( Novada informatīvie izdevumi )</t>
  </si>
  <si>
    <t>09.000</t>
  </si>
  <si>
    <t>09.100</t>
  </si>
  <si>
    <t>PII  "Sprīdītis"</t>
  </si>
  <si>
    <t>PII  "Cīrulītis"</t>
  </si>
  <si>
    <t>PII  "Dzīpariņš"</t>
  </si>
  <si>
    <t>PII  "Zelta sietiņš"</t>
  </si>
  <si>
    <t>PII  "Saulīte"</t>
  </si>
  <si>
    <t>PII " Ābelīte"</t>
  </si>
  <si>
    <t>09.210</t>
  </si>
  <si>
    <t>09.211</t>
  </si>
  <si>
    <t>Ogres 1. vidusskola</t>
  </si>
  <si>
    <t>Jaunogres vidusskola</t>
  </si>
  <si>
    <t>Ogresgala pamatskola</t>
  </si>
  <si>
    <t>09.510</t>
  </si>
  <si>
    <t>Interešu un profesionālās ievirzes izglītība</t>
  </si>
  <si>
    <t>Mūzikas skola</t>
  </si>
  <si>
    <t>Mākslas skola</t>
  </si>
  <si>
    <t>Bērnu un jauniešu centrs</t>
  </si>
  <si>
    <t>09.820</t>
  </si>
  <si>
    <t>Sociālā aizsardzība</t>
  </si>
  <si>
    <t>10.600</t>
  </si>
  <si>
    <t>Mājokļa atbalsts</t>
  </si>
  <si>
    <t>10.700</t>
  </si>
  <si>
    <t>Pārējais citur neklasificēts atbalsts sociāli atstumtām personām</t>
  </si>
  <si>
    <t xml:space="preserve">Sociālais dienests </t>
  </si>
  <si>
    <t>Vietējie valdības dienesti</t>
  </si>
  <si>
    <t>Vispārējā izglītība</t>
  </si>
  <si>
    <t>Pašvaldības teritoriju un mājokļu apsaimniek.</t>
  </si>
  <si>
    <t>Jaunogres v-sk.</t>
  </si>
  <si>
    <t>Ogresgala pamatsk.</t>
  </si>
  <si>
    <t xml:space="preserve">  Kopā:</t>
  </si>
  <si>
    <t>Apstiprinātās mērķdot.</t>
  </si>
  <si>
    <t>Korekcijas</t>
  </si>
  <si>
    <t>Mērķdot.ped.algām</t>
  </si>
  <si>
    <t>Basketbola skola</t>
  </si>
  <si>
    <t>Ogres 1.vidussk.</t>
  </si>
  <si>
    <t>Ģimnāzija</t>
  </si>
  <si>
    <t>Nemateriālie ieguldījumi</t>
  </si>
  <si>
    <t>13.0.0.0.</t>
  </si>
  <si>
    <t>Mērtķdotācijas pedagogu algām</t>
  </si>
  <si>
    <t xml:space="preserve">       Lietus ūdens kanalizācija </t>
  </si>
  <si>
    <t xml:space="preserve">    Muzeji un izstādes</t>
  </si>
  <si>
    <t xml:space="preserve">          Gaidu un skautu muzejs</t>
  </si>
  <si>
    <t xml:space="preserve">    Finansējums PA "Ogres kultūras centrs"</t>
  </si>
  <si>
    <t xml:space="preserve">    Pilsētas dekorēšana svētkiem</t>
  </si>
  <si>
    <t xml:space="preserve">    Pensionēto izglītības darbinieku pasāk.</t>
  </si>
  <si>
    <t>PII " Strautiņš"</t>
  </si>
  <si>
    <t xml:space="preserve">Pozīcijas nosaukums             </t>
  </si>
  <si>
    <t>Ieņēmumi no iedzīvotāju ienākuma nodokļa</t>
  </si>
  <si>
    <t>Saņemts no VK sadales konta  iepriekšējā gada nesadalītais iedzīvotāju ienākuma nodokļa atlikums</t>
  </si>
  <si>
    <t>Saņemts no VK sadales konta  pārskata gadā ieskaitītais iedzīvotāju ienākuma nodoklis</t>
  </si>
  <si>
    <t>4.0.0.0.</t>
  </si>
  <si>
    <t>Īpašuma nodokļi</t>
  </si>
  <si>
    <t>8.6.0.0.</t>
  </si>
  <si>
    <t>Procentu ieņēmumi par depozītiem, kontu atlikumiem un vērtpapīriem</t>
  </si>
  <si>
    <t>10.1.0.0.</t>
  </si>
  <si>
    <t>Naudas sodi</t>
  </si>
  <si>
    <t>12.3.0.0.</t>
  </si>
  <si>
    <t>19.1.0.0.</t>
  </si>
  <si>
    <t>21.3.5.0.</t>
  </si>
  <si>
    <t>Maksa par izglītības pakalpojumiem</t>
  </si>
  <si>
    <t>21.3.7.0.</t>
  </si>
  <si>
    <t>Būvvalde</t>
  </si>
  <si>
    <t>Mājokļu attīstība pašvaldībā</t>
  </si>
  <si>
    <t xml:space="preserve">      Pārējie izdevumi</t>
  </si>
  <si>
    <t xml:space="preserve">       Ģimenes ārstu prakse </t>
  </si>
  <si>
    <t xml:space="preserve">    Bibliotēkas </t>
  </si>
  <si>
    <t>PII "Riekstiņš"</t>
  </si>
  <si>
    <t>PII "Taurenītis"</t>
  </si>
  <si>
    <t xml:space="preserve">Ķeipenes pamatskola </t>
  </si>
  <si>
    <t>Madlienas vidusskola</t>
  </si>
  <si>
    <t>09.219</t>
  </si>
  <si>
    <t>Suntažu vidusskola</t>
  </si>
  <si>
    <t>Suntažu sanatorijas internātpamatskola</t>
  </si>
  <si>
    <t>Madlienas mūzikas un mākslas skola</t>
  </si>
  <si>
    <t>09.600</t>
  </si>
  <si>
    <t>Izglītības papildu pakalpojumi</t>
  </si>
  <si>
    <t>Atbalsts bezdarba gadījumā</t>
  </si>
  <si>
    <t xml:space="preserve">Sabiedriskās organizācijas </t>
  </si>
  <si>
    <t>Bērnu nams "Laubere"</t>
  </si>
  <si>
    <t>Pansionāts "Madliena"</t>
  </si>
  <si>
    <t>F40 32 00 20</t>
  </si>
  <si>
    <t>Preces un pakalpojumi</t>
  </si>
  <si>
    <t>Komandējumi un dienesta braucieni</t>
  </si>
  <si>
    <t>Pakalpojumi</t>
  </si>
  <si>
    <t>Krājumi,materiāli,energoresursi,prece,biroja preces un inventārs, ko neuzskaita  5000. kodā</t>
  </si>
  <si>
    <t>Izdevumi periodikas iegādei</t>
  </si>
  <si>
    <t>Budžeta iestāžu nodokļu maksājumi</t>
  </si>
  <si>
    <t xml:space="preserve">Pārējie procentu maksājumi </t>
  </si>
  <si>
    <t>Pamatlīdzekļi</t>
  </si>
  <si>
    <t xml:space="preserve">Sociālie pabalsti naudā </t>
  </si>
  <si>
    <t>Sociālie pabalsti natūrā</t>
  </si>
  <si>
    <t xml:space="preserve"> IZDEVUMI KOPĀ</t>
  </si>
  <si>
    <t>2100</t>
  </si>
  <si>
    <t>2200</t>
  </si>
  <si>
    <t>5200</t>
  </si>
  <si>
    <t>2300</t>
  </si>
  <si>
    <t>21.1.0.0.</t>
  </si>
  <si>
    <t xml:space="preserve">Budžeta iestādes ieņēmumi no ārvalstu finanšu palīdzības </t>
  </si>
  <si>
    <t>F56010000</t>
  </si>
  <si>
    <t>Kapitālieguldījumu fondu akcijas</t>
  </si>
  <si>
    <t>PII "Saulīte"</t>
  </si>
  <si>
    <t>Valsts kases kredīts   F40 32 00 10</t>
  </si>
  <si>
    <t>Atalgojums</t>
  </si>
  <si>
    <t xml:space="preserve">No vispārējiem ieņēmumiem </t>
  </si>
  <si>
    <t>Kopā:</t>
  </si>
  <si>
    <t>Krapes pagasts</t>
  </si>
  <si>
    <t>Ķeipenes pagasts</t>
  </si>
  <si>
    <t>Lauberes pagasts</t>
  </si>
  <si>
    <t>Madlienas pagasts</t>
  </si>
  <si>
    <t>Mazozolu pagasts</t>
  </si>
  <si>
    <t>Meņģeles pagasts</t>
  </si>
  <si>
    <t>Suntažu pagasts</t>
  </si>
  <si>
    <t>Taurupes pagasts</t>
  </si>
  <si>
    <t>Kopā novadā:</t>
  </si>
  <si>
    <t>Izdevumu mērķa atšifrējums no vispārējiem ieņēmumiem</t>
  </si>
  <si>
    <t>Atbalsts ģimenēm ar bērniem (Bāriņtiesas)</t>
  </si>
  <si>
    <t>Finansējums grāmatām</t>
  </si>
  <si>
    <t>18.6.0.0.</t>
  </si>
  <si>
    <t>Pašvaldību budžetā saņemtie uzturēšanas izdevumu transferti no valsts budžeta</t>
  </si>
  <si>
    <t>Ogres sākumskola</t>
  </si>
  <si>
    <t>Kapitālais remonts un rekonstrukcija</t>
  </si>
  <si>
    <t>4.1.3.0.</t>
  </si>
  <si>
    <t>Nekustamā īpašuma nodoklis par mājokļiem</t>
  </si>
  <si>
    <t>Pašvaldību saņemtie transferti no valsts budžeta</t>
  </si>
  <si>
    <t>Pašvaldības budžeta iekšējie transferti starp vienas pašvaldības budžeta veidiem</t>
  </si>
  <si>
    <t>Pašvaldību saņemtie transferti no citām pašvaldībām</t>
  </si>
  <si>
    <t>Ieņēmumi no budžeta iestāžu sniegtajiem maksas pakalpojumiem un citi pašu ieņēmumi</t>
  </si>
  <si>
    <t>01.100</t>
  </si>
  <si>
    <t xml:space="preserve">Izpildvaras un likumdošanas varas  institūcijas </t>
  </si>
  <si>
    <t>01.820</t>
  </si>
  <si>
    <t>Vispārēja rakstura transferti no pašvaldību budžeta valsts budžetam</t>
  </si>
  <si>
    <t xml:space="preserve">Izdevumi neparedzētiem gadījumiem </t>
  </si>
  <si>
    <t>03.110</t>
  </si>
  <si>
    <t>Pārējie sabiedriskās kārtības un drošības pakalpojumi (Video novērošanai Ogrē)</t>
  </si>
  <si>
    <t>04.11101</t>
  </si>
  <si>
    <t>Uzņēmējdarbības  attīstības veicināšanai</t>
  </si>
  <si>
    <t xml:space="preserve">Lauksaimniecība </t>
  </si>
  <si>
    <t>04.51001</t>
  </si>
  <si>
    <t>04.51004</t>
  </si>
  <si>
    <t>Pārējais autotransports</t>
  </si>
  <si>
    <t>04.6001</t>
  </si>
  <si>
    <t>05.1001</t>
  </si>
  <si>
    <t>05.2001</t>
  </si>
  <si>
    <t>05.2002</t>
  </si>
  <si>
    <t>05.300</t>
  </si>
  <si>
    <t>Vides piesārņojuma novēršana un samazināšana</t>
  </si>
  <si>
    <t>05.400</t>
  </si>
  <si>
    <t>Bioloģiskās daudzveidības un ainavas aizsardzība</t>
  </si>
  <si>
    <t>Teritoriju attīstība ( projektēšanai )</t>
  </si>
  <si>
    <t>06.60001</t>
  </si>
  <si>
    <t>06.60002</t>
  </si>
  <si>
    <t>06.60003</t>
  </si>
  <si>
    <t>06.60006</t>
  </si>
  <si>
    <t>06.60007</t>
  </si>
  <si>
    <t>06.60008</t>
  </si>
  <si>
    <t>06.60009</t>
  </si>
  <si>
    <t>06.60010</t>
  </si>
  <si>
    <t xml:space="preserve">      Saimniecības nodaļa</t>
  </si>
  <si>
    <t>08.1001</t>
  </si>
  <si>
    <t>08.1002</t>
  </si>
  <si>
    <t>08.2201</t>
  </si>
  <si>
    <t>08.2202</t>
  </si>
  <si>
    <t>Pārējā citur neklasificētā kultūra</t>
  </si>
  <si>
    <t>08.29001</t>
  </si>
  <si>
    <t>08.29002</t>
  </si>
  <si>
    <t>08.29003</t>
  </si>
  <si>
    <t xml:space="preserve">Pirmsskolas izglītība </t>
  </si>
  <si>
    <t>09.10001</t>
  </si>
  <si>
    <t>09.10002</t>
  </si>
  <si>
    <t>09.10003</t>
  </si>
  <si>
    <t>09.10004</t>
  </si>
  <si>
    <t>09.10005</t>
  </si>
  <si>
    <t>09.10006</t>
  </si>
  <si>
    <t>09.10007</t>
  </si>
  <si>
    <t>09.10008</t>
  </si>
  <si>
    <t>09.10009</t>
  </si>
  <si>
    <t>09.10010</t>
  </si>
  <si>
    <t>Sākumskolas (ISCED-97 1. līmenis)</t>
  </si>
  <si>
    <t>Vispārējās izglītības mācību iestāžu izdevumi (ISCED-97 1.- 3. līmenis)</t>
  </si>
  <si>
    <t>09.21901</t>
  </si>
  <si>
    <t>09.21902</t>
  </si>
  <si>
    <t>Ogres ģimnāzija</t>
  </si>
  <si>
    <t>09.21903</t>
  </si>
  <si>
    <t>09.21904</t>
  </si>
  <si>
    <t>09.21905</t>
  </si>
  <si>
    <t>09.21906</t>
  </si>
  <si>
    <t>09.21907</t>
  </si>
  <si>
    <t>09.21908</t>
  </si>
  <si>
    <t>09.21910</t>
  </si>
  <si>
    <t>09.5101</t>
  </si>
  <si>
    <t>09.5102</t>
  </si>
  <si>
    <t>09.5103</t>
  </si>
  <si>
    <t>09.5104</t>
  </si>
  <si>
    <t>09.5105</t>
  </si>
  <si>
    <t>09.5106</t>
  </si>
  <si>
    <t>Pārējā citur neklasificētā izglītība (izglītības projektu realizācija)</t>
  </si>
  <si>
    <t>09.82007</t>
  </si>
  <si>
    <t>09.82008</t>
  </si>
  <si>
    <t>10.70001</t>
  </si>
  <si>
    <t>10.70002</t>
  </si>
  <si>
    <t>10.70004</t>
  </si>
  <si>
    <t>10.70005</t>
  </si>
  <si>
    <t>10.70010</t>
  </si>
  <si>
    <t>01.830    7230</t>
  </si>
  <si>
    <t>Pašvaldību  uzturēšanas izdevumu transferti padotības iestādēm</t>
  </si>
  <si>
    <t>Darba devēja valsts sociālās apdrošināšanas obligātās iemaksas, sociālā rakstura pabalsti un kompensācijas</t>
  </si>
  <si>
    <t>Pakalpojumi, kurus budžeta iestādes apmaksā noteikto funkciju ietvaros, kas nav iestādes administratīvie izdevumi</t>
  </si>
  <si>
    <t>Subsīdijas un dotācijas komersantiem, biedrībām un nodibinājumiem</t>
  </si>
  <si>
    <t>Pārējie maksājumi iedzīvotājiem natūrā un kompensācijas</t>
  </si>
  <si>
    <t>Pašvaldību uzturēšanas izdevumu transferti</t>
  </si>
  <si>
    <t xml:space="preserve">Kopā </t>
  </si>
  <si>
    <t>06.100</t>
  </si>
  <si>
    <t xml:space="preserve">Mērķdot. Kolekt.vad. darb.sam.    </t>
  </si>
  <si>
    <t xml:space="preserve">Mērķdot. visp.izgl. ped. darb.sam.  </t>
  </si>
  <si>
    <t xml:space="preserve">Mērķdotācija interer. izgl.    </t>
  </si>
  <si>
    <t xml:space="preserve">Mērķdot. 5.-6.gad. apm. ped.darb.sam   </t>
  </si>
  <si>
    <t>Ogres sākumsk.</t>
  </si>
  <si>
    <t>03.200</t>
  </si>
  <si>
    <t>04.51006</t>
  </si>
  <si>
    <t xml:space="preserve">          Vēstures un mākslas muzejs</t>
  </si>
  <si>
    <t>08.29009</t>
  </si>
  <si>
    <t xml:space="preserve">Mērķis </t>
  </si>
  <si>
    <t>06.60011</t>
  </si>
  <si>
    <t>Ugunsdrošības, glābšanas un civilās drošības dienesti</t>
  </si>
  <si>
    <t>Pārējā citur neklasificētā izglītība</t>
  </si>
  <si>
    <t>Krājumi, materiāli,energoresursi,preces</t>
  </si>
  <si>
    <t>3200</t>
  </si>
  <si>
    <t>Notekūdeņu savākšana un attīrīšana</t>
  </si>
  <si>
    <t>Dotācija biedrībām un organizācijām</t>
  </si>
  <si>
    <t>Ieņēmumi no pašvaldības īpašuma iznomāšanas, pārdošanas un nodokļu pamatp.kapitaliz.</t>
  </si>
  <si>
    <t>Publisko interneta pieejas punktu attīstība</t>
  </si>
  <si>
    <t xml:space="preserve">      Īpašumu uzmērīšanai un reģistrēšanai Zemesgrāmatā</t>
  </si>
  <si>
    <t>Taurupes pamatskola</t>
  </si>
  <si>
    <t>EUR</t>
  </si>
  <si>
    <t>Finansējums māc.līdz.</t>
  </si>
  <si>
    <t>Budžeta iestādes ieņēmumi no ārvalstu finanšu palīdzības</t>
  </si>
  <si>
    <t>Pašvaldību saņemtie transferti no valsts budžeta daļēji finansētām atvasinātām publiskām personām un no budžeta nefinansētām iestādēm</t>
  </si>
  <si>
    <t>17.2.0.0.</t>
  </si>
  <si>
    <r>
      <t xml:space="preserve">Kods 18.6.3.0. “ </t>
    </r>
    <r>
      <rPr>
        <i/>
        <sz val="14"/>
        <rFont val="Times New Roman"/>
        <family val="1"/>
      </rPr>
      <t xml:space="preserve">Pašvaldību no valsts budžeta iestādēm saņemtie transferti ES politiku instrumentu  un pārējās ārvalstu finanšu palīdzības līdzfinansētajiem projektiem </t>
    </r>
    <r>
      <rPr>
        <sz val="14"/>
        <rFont val="Times New Roman"/>
        <family val="1"/>
      </rPr>
      <t xml:space="preserve">” </t>
    </r>
  </si>
  <si>
    <t>Ceļu būvniecībai un remontiem</t>
  </si>
  <si>
    <t>PA "Ogres kultūras c."</t>
  </si>
  <si>
    <r>
      <t xml:space="preserve">Kods 18.6.2.0. “ </t>
    </r>
    <r>
      <rPr>
        <i/>
        <sz val="14"/>
        <rFont val="Times New Roman"/>
        <family val="1"/>
      </rPr>
      <t>Pašvaldību budžetā saņemtie valsts transferti noteiktam mērķim</t>
    </r>
    <r>
      <rPr>
        <sz val="14"/>
        <rFont val="Times New Roman"/>
        <family val="1"/>
      </rPr>
      <t xml:space="preserve">” </t>
    </r>
  </si>
  <si>
    <t>6200</t>
  </si>
  <si>
    <t>21.3.0.0.0</t>
  </si>
  <si>
    <t>Mājokļu apsaimniekošana</t>
  </si>
  <si>
    <t>Siltumapgāde</t>
  </si>
  <si>
    <t>PA "Ogres kultūras centrs" izdevumi</t>
  </si>
  <si>
    <t>Finansējums māc.literat. 5-6 gad.</t>
  </si>
  <si>
    <t xml:space="preserve">       Norēķini ar citu pašvaldību sociālo pakalpojumu iestādēm</t>
  </si>
  <si>
    <t>08.29011</t>
  </si>
  <si>
    <t>PA Rosme</t>
  </si>
  <si>
    <t>Atkritumu apsaimniekošana un labiekārtošana</t>
  </si>
  <si>
    <t>Budžeta nodaļas vadītāja</t>
  </si>
  <si>
    <t>PA "Rosme"</t>
  </si>
  <si>
    <t>01.890   2200</t>
  </si>
  <si>
    <t>F20010000 AS</t>
  </si>
  <si>
    <t>F20010000 AB</t>
  </si>
  <si>
    <t>1.,2.,3.,4. klases skoln. Ēdināš.</t>
  </si>
  <si>
    <t xml:space="preserve">Pārējie 21.3.0.0.grupā neklasificētie budžeta iestāžu ieņēmumi </t>
  </si>
  <si>
    <t>21.4.0.0.0</t>
  </si>
  <si>
    <t>Suntažu internātsk.</t>
  </si>
  <si>
    <t>09.82025</t>
  </si>
  <si>
    <t>21.4.9.0</t>
  </si>
  <si>
    <t>Pārējie iepriekš neklasificētie pašu ieņēmumi</t>
  </si>
  <si>
    <t>04.11114</t>
  </si>
  <si>
    <t>04.2101</t>
  </si>
  <si>
    <t>04.2103</t>
  </si>
  <si>
    <t>04.51007</t>
  </si>
  <si>
    <t xml:space="preserve">     Grants ceļu bez cietā seguma posmu pārbūve Ogres novadā</t>
  </si>
  <si>
    <t>05.1007</t>
  </si>
  <si>
    <t xml:space="preserve">      Koncesija atkritumu apsaimniekošana</t>
  </si>
  <si>
    <t>05.30010</t>
  </si>
  <si>
    <t>05.30011</t>
  </si>
  <si>
    <t>06.1001</t>
  </si>
  <si>
    <t>08.1004</t>
  </si>
  <si>
    <t xml:space="preserve">       Struktūrvienība peldbaseins  "Neptūns"</t>
  </si>
  <si>
    <t>08.2203</t>
  </si>
  <si>
    <t>Pārējā izglītības vadība (Izglītības, kultūras un sporta pārvalde)</t>
  </si>
  <si>
    <t>09.82026</t>
  </si>
  <si>
    <t>09.82028</t>
  </si>
  <si>
    <t xml:space="preserve">       Nordplus programma - Ogres Mūzikas skolas projekts "Innovative Bridge of Music"</t>
  </si>
  <si>
    <t>09.82030</t>
  </si>
  <si>
    <t xml:space="preserve">      8.1.2.SAM "Uzlabot vispārējās izglītības iestāžu mācību vidi Ogres novadā"</t>
  </si>
  <si>
    <t>Mācību, darba un dienesta komandējumi, dienesta, darba braucieni</t>
  </si>
  <si>
    <t>Kompensācijas, kuras izmaksā personām, pamatojoties uz Latvijas tiesu nolēmumiem</t>
  </si>
  <si>
    <t>Sprīdītis</t>
  </si>
  <si>
    <t>Cīrulītis</t>
  </si>
  <si>
    <t>Dzīpariņš</t>
  </si>
  <si>
    <t>Zelta sietiņš</t>
  </si>
  <si>
    <t>Saulīte</t>
  </si>
  <si>
    <t>Ābelīte</t>
  </si>
  <si>
    <t>Strautiņš</t>
  </si>
  <si>
    <t>Riekstiņš</t>
  </si>
  <si>
    <t xml:space="preserve">   Kopā</t>
  </si>
  <si>
    <t>Mērķdot.ped.algām 5-6 gad.</t>
  </si>
  <si>
    <t>1.vidussk.</t>
  </si>
  <si>
    <t>Ģimnāzija.</t>
  </si>
  <si>
    <t>Jaunatnes centrs</t>
  </si>
  <si>
    <t>Apstipr.mērķd.inter.izgl.</t>
  </si>
  <si>
    <t>Koriģētā mērķd.inter.izgl.</t>
  </si>
  <si>
    <t>Mūzikas  skola</t>
  </si>
  <si>
    <r>
      <t xml:space="preserve">Kods 18.6.9.0. “ </t>
    </r>
    <r>
      <rPr>
        <i/>
        <sz val="14"/>
        <rFont val="Times New Roman"/>
        <family val="1"/>
      </rPr>
      <t xml:space="preserve">Pārējie pašvaldību  saņemtie valsts budžeta iestāžu transferti </t>
    </r>
    <r>
      <rPr>
        <sz val="14"/>
        <rFont val="Times New Roman"/>
        <family val="1"/>
      </rPr>
      <t xml:space="preserve">” </t>
    </r>
  </si>
  <si>
    <t>10.70015</t>
  </si>
  <si>
    <t>Kredīta atmaksa        F40322220</t>
  </si>
  <si>
    <t>Līdzekļu atlikums uz gada beigām (Kases apgrozāmie līdzekļi)  F22010020</t>
  </si>
  <si>
    <t>Ģimnāzijai reģionālā metod.centra un pedagogu tālākizglītības centra darbības nodrošin. visp. izgl. iest. pedagogiem</t>
  </si>
  <si>
    <t>09.82032</t>
  </si>
  <si>
    <t>PII "Zelta sietiņš"</t>
  </si>
  <si>
    <t>PII "Ābelīte"</t>
  </si>
  <si>
    <t>PII "Cīrulītis"</t>
  </si>
  <si>
    <t>09.82033</t>
  </si>
  <si>
    <t>05.30012</t>
  </si>
  <si>
    <t xml:space="preserve">Papildus finansējums konkrētiem mērķiem </t>
  </si>
  <si>
    <t>Informatīvi pasākumi uzņēmējiem</t>
  </si>
  <si>
    <t>Laub. bērnunam.   Madl. pans.</t>
  </si>
  <si>
    <t>9.9.2.0</t>
  </si>
  <si>
    <t xml:space="preserve">Pašvaldības un tās iestāžu savstarpējie transferti </t>
  </si>
  <si>
    <t>Ieņēmumi no lauksaimnieciskās darbības</t>
  </si>
  <si>
    <t>01.600</t>
  </si>
  <si>
    <t>Pārējie iepriekš neklasificētie vispārējie valdības dienesti</t>
  </si>
  <si>
    <t>04.51008</t>
  </si>
  <si>
    <t xml:space="preserve">     Ēkas Parka ielā 1, Ogrē siltināšana un rekonstrukcija, pielāgojot pirmsskolas izglītības iestādes vajadzībām</t>
  </si>
  <si>
    <t xml:space="preserve">    Ēkas Upes prospektā 16, Ogrē  siltināšana un rekonstrukcija, pielāgojot Ogres novada Sociālā dienesta un tā struktūrvienību vajadzībām</t>
  </si>
  <si>
    <t>07.4501</t>
  </si>
  <si>
    <t>08.2301</t>
  </si>
  <si>
    <t>08.2302</t>
  </si>
  <si>
    <t>Kultūras centra kāpņu ansambļa pārbūve</t>
  </si>
  <si>
    <t xml:space="preserve">    Kultūras aktivitātes / pasākumi</t>
  </si>
  <si>
    <t>08.29005</t>
  </si>
  <si>
    <t>Ogres pilsētas vēsturiskā centra kultūras telpas revitalizācija, veicinot latvisko dzīvesziņu (Brīvības ielas skvēra pārbūve pie Zelta Liepas)</t>
  </si>
  <si>
    <t>08.29006</t>
  </si>
  <si>
    <t>Projekts Ķeipenes estrādes būvniecība</t>
  </si>
  <si>
    <t>Reliģisko organizāciju un citu biedrību un nodibinājumu pakalpojumi</t>
  </si>
  <si>
    <t xml:space="preserve">     Projekts Skolēnu autobusi (Šveice)</t>
  </si>
  <si>
    <t>Projekts Skolēnu autobusi (Soc.droš.tīkls)</t>
  </si>
  <si>
    <t>10.70003</t>
  </si>
  <si>
    <t>Sociālā dienesta asistentu pakalpojumi</t>
  </si>
  <si>
    <t>Procentu maksājumi iekšzemes kredītiestādēm</t>
  </si>
  <si>
    <t>Zaudējumi no valūtas kursa svārstībām</t>
  </si>
  <si>
    <t>09.82021</t>
  </si>
  <si>
    <t>Ģimnāzijas projekts "Fiziskās audzināšanas loma skolēnu veselības stiprināšanā"</t>
  </si>
  <si>
    <t>Pārējās nodevas</t>
  </si>
  <si>
    <t>01.83011</t>
  </si>
  <si>
    <t>01.83012</t>
  </si>
  <si>
    <t>01.83013</t>
  </si>
  <si>
    <t>03.2001</t>
  </si>
  <si>
    <t>Civilās daizsardzības pasākumi</t>
  </si>
  <si>
    <t>04.11102</t>
  </si>
  <si>
    <t>04.11103</t>
  </si>
  <si>
    <t xml:space="preserve">   Novērst plūdu un krasta erozijas risku apdraudējumu Ogres pilsētas teritorijā, veicot vecā aizsargdambja pārbūvi un jauna aizsargmola (straumvirzes) būvniecību pie Ogres upes ietekas Daugavā</t>
  </si>
  <si>
    <t>04.4301</t>
  </si>
  <si>
    <t xml:space="preserve">     Ogres upes promenādes otrā kārta. Krasta ielas lejas promenādes pārbūve</t>
  </si>
  <si>
    <t>05.30001</t>
  </si>
  <si>
    <t>05.4001</t>
  </si>
  <si>
    <t xml:space="preserve">Mājokļu attīstība </t>
  </si>
  <si>
    <t>06.2001</t>
  </si>
  <si>
    <t>06.60004</t>
  </si>
  <si>
    <t xml:space="preserve">       Projektu konkurss "Veidojam vidi ap mums Ogres novadā"</t>
  </si>
  <si>
    <t xml:space="preserve">      Pašvaldības teritoriju labiekārtošana</t>
  </si>
  <si>
    <t xml:space="preserve">       Mājokļu apsaimniekošana</t>
  </si>
  <si>
    <t xml:space="preserve">       Siltumapgāde</t>
  </si>
  <si>
    <t xml:space="preserve">       Kapu saimniecība</t>
  </si>
  <si>
    <t xml:space="preserve">      Nevalstisko organizāciju projektu atbalstam</t>
  </si>
  <si>
    <t>07.2101</t>
  </si>
  <si>
    <t xml:space="preserve">       Projektu konkurss "R.A.D.I. Ogres novadam" (Kultūras, sporta un izglītības pasākumi, mācības, kursi)</t>
  </si>
  <si>
    <t xml:space="preserve">        Ģimnāzijas projekts ERASMUS programmas pamatdarbības Nr.2 (KA 2),stratēģisko skolu sadarbības partnerību projekts (VĀCIJA)</t>
  </si>
  <si>
    <t xml:space="preserve">       Ģimnāzijas projekts ERASMUS programmas pamatdarbības Nr. 2 (KA 2) stratēģisko skolu sadarbības partnerību projekts (ČEHIJA)</t>
  </si>
  <si>
    <t xml:space="preserve">  Ģimnāzijas projekts ERASMUS programmas stratēģisko skolu sadarbības partnerību projekts (ITĀLIJA) 2016-1-IT02-KA219-024226-3</t>
  </si>
  <si>
    <t xml:space="preserve"> ES projekts "Deinstitucionalizācija un sociālie pakalpojumi personām ar invaliditāti un bērniem"</t>
  </si>
  <si>
    <t>08.29007</t>
  </si>
  <si>
    <t>10.70006</t>
  </si>
  <si>
    <t>Jauniešu garantijas ietvaros projekta "PROTI un DARI!" īstenošana</t>
  </si>
  <si>
    <t>09.8101</t>
  </si>
  <si>
    <t>Papildus aktivitātes  Ogres novada pašvaldības iestādēs (vasaras nometnes)</t>
  </si>
  <si>
    <t>08.29008</t>
  </si>
  <si>
    <t>Finansējums bērniem, kuri apmeklē privātās pirmsskolas izglītības iestādes</t>
  </si>
  <si>
    <t>06.60012</t>
  </si>
  <si>
    <t xml:space="preserve">      Vides pieejamības nodrošināšana Ogres pilsētas pazemes pārejā zem sliežu ceļa</t>
  </si>
  <si>
    <t xml:space="preserve">      Līčkalniņa kapu kapličas būvniecība</t>
  </si>
  <si>
    <t xml:space="preserve">  Siltumnīcefekta gāzu emisiju samazināšana Ogres 1.vidusskolā</t>
  </si>
  <si>
    <t xml:space="preserve">   Bioloģiskās daudzveidības un ainavas aizsardzība</t>
  </si>
  <si>
    <t xml:space="preserve">      Ielu tīrīšanai, atkritumu savākšanai,teritoriju labiekārtošanai</t>
  </si>
  <si>
    <t xml:space="preserve">   Vispārējie lauksaimniecības izdevumi</t>
  </si>
  <si>
    <t xml:space="preserve">     Finansējums Ogres un Ikšķiles PA "Tūrisma, sporta un atpūtas kompleksa "Zilie kalni"attīstības aģentūra"</t>
  </si>
  <si>
    <t xml:space="preserve">      SAM 9.2.4.2. Pasākumi vietējās sabiedrības slimību profilaksei un veselības veicināšanai</t>
  </si>
  <si>
    <t xml:space="preserve">    Papildus aktivitātes  Ogres novada pašvaldības iestādēs (vasaras nometnes)</t>
  </si>
  <si>
    <t xml:space="preserve">    Kultūras mantojuma saglabāšana un attīstība Daugavas ceļā</t>
  </si>
  <si>
    <t xml:space="preserve">    Taurupes brīvdabas estrādes projekts (Zied zeme, LAD)</t>
  </si>
  <si>
    <t>06.60020</t>
  </si>
  <si>
    <t>08.2304</t>
  </si>
  <si>
    <t xml:space="preserve">    Kultūras centri, nami, klubi</t>
  </si>
  <si>
    <t xml:space="preserve">    Kultūras centri - tautas nami</t>
  </si>
  <si>
    <t>08.300</t>
  </si>
  <si>
    <t>Apraides un izdevniecības pakalpojumi</t>
  </si>
  <si>
    <t>Ēdināšanas izmaksu kompensācijas</t>
  </si>
  <si>
    <t>Skolnieku pārvadājumi</t>
  </si>
  <si>
    <t>06.60021</t>
  </si>
  <si>
    <t xml:space="preserve">     LAD proj. Krapes ev.luteriskās baznīcas torņa atjaunošana </t>
  </si>
  <si>
    <t>06.4001</t>
  </si>
  <si>
    <t>09.82034</t>
  </si>
  <si>
    <t>Projekts "Jaunatnes politikas attīstība Ogres novadā"</t>
  </si>
  <si>
    <t>Ogres 1. vidusskolas ERASMUS programmas 1. pamatdarbības mobilitātes projekts "Jauna mācību pieredze skolēniem un skolotājiem"</t>
  </si>
  <si>
    <t>09.82035</t>
  </si>
  <si>
    <t>09.82001</t>
  </si>
  <si>
    <t>Karjeras atbalsts vispārējās un profesionālās izglītības iestādēs</t>
  </si>
  <si>
    <t>Kods 21.1.0.0.  Budžeta iestādes ieņēmumi no ārvalstu finanšu palīdzības</t>
  </si>
  <si>
    <t>5100</t>
  </si>
  <si>
    <t>09.10011</t>
  </si>
  <si>
    <t>09.60010</t>
  </si>
  <si>
    <t>09.60020</t>
  </si>
  <si>
    <t>04.510010</t>
  </si>
  <si>
    <t>08.29013</t>
  </si>
  <si>
    <t>08.29017</t>
  </si>
  <si>
    <t>Sajūtu un brīvā laika pavadīšanas dārzs "Raiņa un Aspazijas saulainais stūrītis" (LAD)</t>
  </si>
  <si>
    <t xml:space="preserve">"Gaisma Ciemupes Tautas namā" (LAD) </t>
  </si>
  <si>
    <t>09.82036</t>
  </si>
  <si>
    <t>"Ogresgala pamatskolas sporta zāles atjaunošana un modernizēšana Ogres novada iedzīvotāju sportisko aktivitāšu dažādošanai" (LAD)</t>
  </si>
  <si>
    <t>09.82037</t>
  </si>
  <si>
    <t>09.82038</t>
  </si>
  <si>
    <t>SAM 5,6,2, Degradētās teritorijas Pārogres industriālajā parkā revitalizācija</t>
  </si>
  <si>
    <t>2500</t>
  </si>
  <si>
    <t>Ogres 1. vidusskolas ERASMUS programmas 2. pamatdarbības starpskolu stratēģisko partnerību projekts "21. gadsimta globalizācijas un ilgtspējības izaicinājumi"</t>
  </si>
  <si>
    <t>Ģimnāzijas ERASMUS programmas 2. pamatdarbības starpskolu stratēģisko partnerību projekts "Rītdienas mācīšana"</t>
  </si>
  <si>
    <t>Sākumskolas ERASMUS programmas 2. pamatdarbības starpskolu stratēģisko partnerību projekts "Kam ir bail no matemātikas"</t>
  </si>
  <si>
    <t>09.82041</t>
  </si>
  <si>
    <t>PA "Rosme" izdevumi</t>
  </si>
  <si>
    <t>Pielikumā PA "Rosme" budž. korekc.</t>
  </si>
  <si>
    <t>Atbalsts izglītojamo individuālo kompetenču attīstībai</t>
  </si>
  <si>
    <t>09.82039</t>
  </si>
  <si>
    <t>Suntažu internātpamatskola</t>
  </si>
  <si>
    <t>08.2101</t>
  </si>
  <si>
    <t>Ogres un Ogresgala atlikums uz gada beigām</t>
  </si>
  <si>
    <t>Starptautiskā sadarbība</t>
  </si>
  <si>
    <t>09.82042</t>
  </si>
  <si>
    <t>Erasmus programmas projekts "Digitālās kompetences darba tirgū jauniešiem ar ierobežotām iespējām" (Kipra)</t>
  </si>
  <si>
    <t>SIA MS siltums  pamatkapitāla palielināšanai</t>
  </si>
  <si>
    <t>04.51009</t>
  </si>
  <si>
    <t>10.40001</t>
  </si>
  <si>
    <t>Ogres novada pašvaldības 2018. gada pamatbudžeta ieņēmumi.</t>
  </si>
  <si>
    <t xml:space="preserve">Ogres un Ogresgala 2018.g. budžets </t>
  </si>
  <si>
    <t>Pašvald. aģentūras "Kultūras centrs" 2018.g. budžets</t>
  </si>
  <si>
    <t>Pašvald. aģentūras "Rosme" 2018.g. budžets</t>
  </si>
  <si>
    <t>Suntažu pagasta pārvaldes 2018.g. budžets</t>
  </si>
  <si>
    <t>Lauberes pagasta pārvaldes 2018.g. budžets</t>
  </si>
  <si>
    <t>Ķeipenes pagasta pārvaldes 2018.g. budžets</t>
  </si>
  <si>
    <t>Madlienas pagasta pārvaldes 2018.g. budžets</t>
  </si>
  <si>
    <t>Krapes pagasta pārvaldes 2018.g. budžets</t>
  </si>
  <si>
    <t>Mazozolu pagasta pārvaldes 2018.g. budžets</t>
  </si>
  <si>
    <t>Meņģeles pagasta pārvaldes 2018.g. budžets</t>
  </si>
  <si>
    <t>Taurupes pagasta pārvaldes 2018.g. budžets</t>
  </si>
  <si>
    <t>Ogres novada pašvaldības 2018.g. budžets</t>
  </si>
  <si>
    <t>8.3.0.0.</t>
  </si>
  <si>
    <t>Īeņēmumi no dividendēm</t>
  </si>
  <si>
    <t>12.0.0.0.</t>
  </si>
  <si>
    <t>21.3.4.0.</t>
  </si>
  <si>
    <t>Procentu Ieņēmumi par  maksas pakalpojumiem</t>
  </si>
  <si>
    <t>F40 02 00 10</t>
  </si>
  <si>
    <t>Budžeta  atl.uz  01. 01. 2018.g.        F22010010</t>
  </si>
  <si>
    <t>Ogres novada pašvaldības 2018. gada pamatbudžeta  izdevumi atbilstoši funkcionālajām kategorijām.</t>
  </si>
  <si>
    <t>Meņģeles pagasta pārvaldes 20178.g. budžets</t>
  </si>
  <si>
    <t>03.6002</t>
  </si>
  <si>
    <t>Atskurbtuves pakalpojumiem</t>
  </si>
  <si>
    <t>Projektu pieteikumu, tehniskās dokumentācijas, topogrāfiju izstrāde un vides ekspertīzes, energoaudits</t>
  </si>
  <si>
    <t>04.11116</t>
  </si>
  <si>
    <t>Ogres novadnieka karte</t>
  </si>
  <si>
    <t>04.510011</t>
  </si>
  <si>
    <t>Jāņa Čakstes prospekta rekonstrukcija</t>
  </si>
  <si>
    <t>04.510012</t>
  </si>
  <si>
    <t>Rūpnieku ielas pārbūve</t>
  </si>
  <si>
    <t>04.510013</t>
  </si>
  <si>
    <t>Autostāvvietas projektēšana, būvniecība un būvuzraudzība pie PII Parka 1, Ogrē</t>
  </si>
  <si>
    <t>04.510014</t>
  </si>
  <si>
    <t>Mazozolu ceļa 7206 Pērles - Lāči posma remonts</t>
  </si>
  <si>
    <t xml:space="preserve">     Daugavpils šosejas (A6) atjaunošana sadarbībā ar Latvijas valsts ceļiem</t>
  </si>
  <si>
    <t xml:space="preserve"> Gājēju tunelis zem dzelzceļa sliežu ceļiem un Autotransporta tunelis zem dzelzceļa sliežu ceļiem </t>
  </si>
  <si>
    <t xml:space="preserve">         Kultūrvēsturiskā pieminekļa "Pie Zelta Liepas" rekonstrukcija</t>
  </si>
  <si>
    <t>08.2204</t>
  </si>
  <si>
    <t>Sudrabu Edžus memoriālā istaba</t>
  </si>
  <si>
    <t>08.2303</t>
  </si>
  <si>
    <t>Komunikāciju centrs Ķeipenē</t>
  </si>
  <si>
    <t>08.2305</t>
  </si>
  <si>
    <t>Teātra telpu izbūve Ogres kultūras centrā</t>
  </si>
  <si>
    <t>08.29004</t>
  </si>
  <si>
    <t xml:space="preserve">    Dalībai dziesmu un deju svētkos</t>
  </si>
  <si>
    <t>08.29018</t>
  </si>
  <si>
    <t>Ķeipenes dzelzceļa stacijas ēkas atjaunošana(LAD)</t>
  </si>
  <si>
    <t>08.29019</t>
  </si>
  <si>
    <t>Lejasdaugavas novadu iedzīvotāju iesaiste velo un ūdenstūrisma maršrutu par godu Latvijas simtgadei izstrādē, kā arī vides izglītošanā</t>
  </si>
  <si>
    <t>08.29020</t>
  </si>
  <si>
    <t>Projekts Viļņu mājas atjaunošana Ķeipenē</t>
  </si>
  <si>
    <t>08.3101</t>
  </si>
  <si>
    <t>08.3301</t>
  </si>
  <si>
    <t>08.4001</t>
  </si>
  <si>
    <t>Erasmus programmas projekts Digitālās kompetences darba tirgū jauniešiem</t>
  </si>
  <si>
    <t>10.4001</t>
  </si>
  <si>
    <t>10.5001</t>
  </si>
  <si>
    <t>10.70016</t>
  </si>
  <si>
    <t>ERAF "Pakalpojumu infrastruktūras attīstība deinstitualizācijas plānu īstenošanai"</t>
  </si>
  <si>
    <t>F55 01 00 13</t>
  </si>
  <si>
    <t>Ogres novada pašvaldības 2018. gada pamatbudžeta  izdevumi atbilstoši ekonomiskajām kategorijām.</t>
  </si>
  <si>
    <t>Ogres novada  2018.gada budžeta ieņēmumu grozījumi.</t>
  </si>
  <si>
    <t xml:space="preserve">Ogres un Ogresgala 2018.g. budžeta korekc. </t>
  </si>
  <si>
    <t>Pašvald. aģentūras "Kultūras centrs" 2018.g.korekc.</t>
  </si>
  <si>
    <t>Pašvald. aģentūras "Rosme" 2018.g.korekc.</t>
  </si>
  <si>
    <t>Budžeta atlikums uz 01.01.2018.</t>
  </si>
  <si>
    <t>Informācija par papildus izdevumu segšanai pieprasītajiem līdzekļiem 2018.gada budžeta grozījumos</t>
  </si>
  <si>
    <t>2018.gada koriģētās mērķdotācijas izglītības iestāžu pedagoģisko darbinieku darba samaksai un sociālās apdrošināšanas oblidātajām iemaksām.</t>
  </si>
  <si>
    <t>SKOLAS  2018.g.koriģētie izdevumi.</t>
  </si>
  <si>
    <t>PII koriģētie izdevumi    2018.gadā</t>
  </si>
  <si>
    <t>2018.g. interešu izglītībai koriģētie izdevumi.</t>
  </si>
  <si>
    <t>2018.g. profesionālās ievirzes izglītības iestāžu koriģētie izdevumi.</t>
  </si>
  <si>
    <t>09.82043</t>
  </si>
  <si>
    <t>Ogres 1. vidusskolas ERASMUS programmas 2. pamatdarbības stratēģiskās partnerības projekts "Tavu teorētisko zināšanu lietojums praksē"</t>
  </si>
  <si>
    <t>Mērķdotācija</t>
  </si>
  <si>
    <t>2018.g. mērķdotācija tautas kolektīvu vadītājiem.</t>
  </si>
  <si>
    <t>06.60013</t>
  </si>
  <si>
    <t>Proj. "Ogres vecupes publiskās peldvietas labiekārtošana un ekoloģiskā līdzsvara paaugstināšana, paplašinot vides pieejamības iespējas"</t>
  </si>
  <si>
    <t>04.730</t>
  </si>
  <si>
    <t>Tūrisma informācijas centrs</t>
  </si>
  <si>
    <t>08.29010</t>
  </si>
  <si>
    <t>01.83014</t>
  </si>
  <si>
    <t>Pārējie transferti citām pašvaldībām</t>
  </si>
  <si>
    <t>09.82002</t>
  </si>
  <si>
    <t xml:space="preserve">     Atbalsts priekšlaicīgas mācību pārtraukšanas samazināšanai (Pumpurs)</t>
  </si>
  <si>
    <t xml:space="preserve">       Latvijas valsts simtgadei veltītu projektu īstenošanai</t>
  </si>
  <si>
    <t>Projekta nosaukums</t>
  </si>
  <si>
    <t xml:space="preserve">Palielinās Valsts kasei atgriežamais kredīts </t>
  </si>
  <si>
    <t>Pielikumā PA "ONKC" budž. korekc.</t>
  </si>
  <si>
    <t xml:space="preserve">       Dabas un bioloģiskās daudzveidības saglabāšanas un aizsardzības pasākumi īpaši aizsargājamajā dabas teritorijā "Ogres ieleja"</t>
  </si>
  <si>
    <t>09.82045</t>
  </si>
  <si>
    <t>Projekta budžeta tāmes precizējums, atbalstāmo personu skaita pieaugums</t>
  </si>
  <si>
    <t>Ogres 1. vidusskolas ERASMUS programmas 1. pamatdarbības mobilitātes projekts "No vārdiem pie darbiem: mūsdienīgu lietpratību veicinoša skola"</t>
  </si>
  <si>
    <t>04.7301</t>
  </si>
  <si>
    <t>Peldbaseins "Neptūns"</t>
  </si>
  <si>
    <t>08.10004</t>
  </si>
  <si>
    <t>07.4502</t>
  </si>
  <si>
    <t>06.60022</t>
  </si>
  <si>
    <t>10.70007</t>
  </si>
  <si>
    <t>Sociālo pakalpojumu atbalsta sistēmas pilnveide</t>
  </si>
  <si>
    <t>06.60022 3200</t>
  </si>
  <si>
    <t>04.11117</t>
  </si>
  <si>
    <t xml:space="preserve">     Veselības veicināšanas pasākumiem</t>
  </si>
  <si>
    <t>Veselības veicināšanas pasākumiem</t>
  </si>
  <si>
    <t>PA "Ogres komunikācijas" izdevumi</t>
  </si>
  <si>
    <t>Pielikumā PA "Ogres komunikācijas" budž. korekc.</t>
  </si>
  <si>
    <t>PA "Ogres komunikācijas" finansējums</t>
  </si>
  <si>
    <t xml:space="preserve">Finansējums PA "Ogres komunikācijas" </t>
  </si>
  <si>
    <t xml:space="preserve">Pielikumā PA "Ogres komunikācijas" budž. korekc. </t>
  </si>
  <si>
    <t xml:space="preserve"> PA "Ogres komunikācijas" finansējums</t>
  </si>
  <si>
    <t>PA Ogres komunikācijas atlikums uz gada beigām</t>
  </si>
  <si>
    <t>Energoefektivitātes pasākumi</t>
  </si>
  <si>
    <t>08.29021</t>
  </si>
  <si>
    <t xml:space="preserve">    Suntažu pagasta svētki -Suntažiem 795</t>
  </si>
  <si>
    <t>Pielikumā PA "Ogres komunikācijas" iekšējas korekc.</t>
  </si>
  <si>
    <t>SIA "Ogres namsaimnieks"  pamatkapitāla palielināšanai</t>
  </si>
  <si>
    <t>Pašvald. aģentūras "Ogres komunikācijas" 2018.g. budžets</t>
  </si>
  <si>
    <t>Pašvald. aģentūras "Ogres komunikācijas" 2018.g. budž.korekc.</t>
  </si>
  <si>
    <t>Pašvaldību kapitālo izdevumu transferti</t>
  </si>
  <si>
    <t>SIA Ogres namsaimnieks finansējums domes deliģēto funkciju izpildei</t>
  </si>
  <si>
    <t>F21010020</t>
  </si>
  <si>
    <t xml:space="preserve">Naudas līdzekļu samazinājums </t>
  </si>
  <si>
    <t xml:space="preserve"> Pielikumā PA "Ogres komunikācijas" budž. korekc.</t>
  </si>
  <si>
    <t>PII "Strautiņš"</t>
  </si>
  <si>
    <t>09.100071</t>
  </si>
  <si>
    <t>09.82004</t>
  </si>
  <si>
    <t>Ogres Valsts Ģimnāzijas ERASMUS+ programmas 2. pamatdarbības skolu apmaiņas partnerību projekts Nr.2018-1-FR01- KA229-047933_3</t>
  </si>
  <si>
    <t>Ogres Valsts Ģimnāzijas ERASMUS+ programmas 2. pamatdarbības skolu apmaiņas partnerību projekts Nr.2018-1-PT01- KA229-047540_6</t>
  </si>
  <si>
    <t>09.82005</t>
  </si>
  <si>
    <t>09.82003</t>
  </si>
  <si>
    <t>Valsts budžeta programmas "Latvijas Skolas soma" īstenošanai</t>
  </si>
  <si>
    <t>Ogres Valsts ģimnāzija</t>
  </si>
  <si>
    <t>Suntažu Intrnātskola</t>
  </si>
  <si>
    <t xml:space="preserve">    Valsts budžeta programmas "Latvijas Skolas soma" īstenošanai</t>
  </si>
  <si>
    <t xml:space="preserve">     Ogres Valsts Ģimnāzijas ERASMUS+ programmas 2. pamatdarbības skolu apmaiņas partnerību projekts Nr.2018-1-FR01- KA229-047933_3</t>
  </si>
  <si>
    <t xml:space="preserve">    Ogres Valsts Ģimnāzijas ERASMUS+ programmas 2. pamatdarbības skolu apmaiņas partnerību projekts Nr.2018-1-PT01- KA229-047540_6</t>
  </si>
  <si>
    <t>04.11118</t>
  </si>
  <si>
    <t>LAD projekts Suntažu tirgus laukuma izveide</t>
  </si>
  <si>
    <t>LAD projekts Ēkas "Krievskola" kā vietējās tirdzniecības vietas atjaunošana</t>
  </si>
  <si>
    <t>Vienreizējs papildus finansējums piemaksām, prēmijām sakarā ar skolu tīklu sakārtošanu</t>
  </si>
  <si>
    <t xml:space="preserve">05.1001  </t>
  </si>
  <si>
    <t>Ogres 1. vidusskolas infrastruktūras un materiāltehniskās bāzes uzlabošana Nr.A2/1/16/251 trančes Nr.P-162/2016</t>
  </si>
  <si>
    <t xml:space="preserve">8.1.2.SAM "Uzlabot vispārējās izglītības iestāžu mācību vidi Ogres novadā" </t>
  </si>
  <si>
    <t>LR KM finansējums Ukrainas bērnu un jauniešu, kas cietuši no karadarbības Ukrainas austrumos, uzņemšanai Ogrs novadā</t>
  </si>
  <si>
    <t>Kultūras aktivitātes/pasākumi</t>
  </si>
  <si>
    <t>Ieņēmumi no VKKF "Ogres Centrālās bibliotēkas projekts "Pēcpusdienas kopā ar Virdžīniju Lejiņu"" - bibliotēkai</t>
  </si>
  <si>
    <t>Bibliotēka</t>
  </si>
  <si>
    <t>Krājumi, materiāli,energoresursi, preces</t>
  </si>
  <si>
    <t>EUR 240 VKKF finansējums projektam "Pēcpusdienas kopā ar Virdžīniju Lejiņu", proj. īstenošanas termiņš 03.12.2018-28.02.2019.</t>
  </si>
  <si>
    <t>EUR 6 304 pārcelts no pašvaldības labiekārtošanas līdzekļiem "Bērnu rotaļu laukuma ierīkošana pie Čakstes prospekta" uz PA "Ogres komunikācijas" ūdensvada pieslēguma atjaunošanai Čakstes pr. 1</t>
  </si>
  <si>
    <t>Iesniegums- pārcelti EUR 606 no SIA Ogres namsaimnieks," Ogresgala pagasta labiekārtošanai paredzētie atlikušie līdzekļi un novirzīti Ziemassvētku rotājumiem pagastā</t>
  </si>
  <si>
    <t>01.8201</t>
  </si>
  <si>
    <t>7200</t>
  </si>
  <si>
    <t>Pašvaldību budžetu uzturēšanas izdevumu transferti uz valsts budžetu</t>
  </si>
  <si>
    <t>Pārcelts uz transfertu funkciju, lai pārskaitītu no VKKF saņemto, bet atlikušo neizlietoto projekta finansējumu Mākslas skolas materiāli tehniskās bāzes uzlabošanai</t>
  </si>
  <si>
    <t>Iesniegums EUR 4 693, lai pabeigtu ugunsdrošības un apziņošanas sistēmas remontu un EUR 8 482 apsardzes sistēmas uzstādīšanai</t>
  </si>
  <si>
    <t>09.21101</t>
  </si>
  <si>
    <t>09.82009</t>
  </si>
  <si>
    <t>Jauns projekts, tā realizācija 2018.-2019.g., kopējā summa EUR 23 583</t>
  </si>
  <si>
    <t>09.82006</t>
  </si>
  <si>
    <t>Jauns projekts, tā realizācija 2018.-2019.g., kopējā summa EUR 19 787</t>
  </si>
  <si>
    <t xml:space="preserve">       Ģimnāzijas projekts ERASMUS+ programmas pamatdarbības Nr.2 (KA 2), skolu apmaiņas partnerību projekts Nr 2018-1-TR01-KA229-059950_3 (Angļu valodas apguve)</t>
  </si>
  <si>
    <t xml:space="preserve">        Ģimnāzijas projekts ERASMUS+ programmas pamatdarbības Nr.2 (KA 2), skolu apmaiņas partnerību projekts Nr 2018-1-ES01-KA229-050191_3 (Kultūra uz skatuves)</t>
  </si>
  <si>
    <t xml:space="preserve">        Ģimnāzijas projekts ERASMUS+ programmas pamatdarbības Nr.2 (KA 2), skolu apmaiņas partnerību projekts Nr 2018-1-TR01-KA229-059950_3 (Angļu valodas apguve)</t>
  </si>
  <si>
    <t>Ģimnāzijas projekts ERASMUS+ programmas pamatdarbības Nr.2 (KA 2), skolu apmaiņas partnerību projekts Nr 2018-1-TR01-KA229-059950_3 (Angļu valodas apguve)</t>
  </si>
  <si>
    <t>Ģimnāzijas projekts ERASMUS+ programmas pamatdarbības Nr.2 (KA 2), skolu apmaiņas partnerību projekts Nr 2018-1-ES01-KA229-050191_3 (Kultūra uz skatuves)</t>
  </si>
  <si>
    <t>EUR 891 uz Madlienas budžetu, savstarpēja vienošanās ar Madlienas pag. pārvaldi par transporta izmantošanu</t>
  </si>
  <si>
    <t>Savstarpēja vienošanās ar IKSP un Madlienas pag. pārvaldi par transporta izmantošanu, pārcelti no Sporta pasākumiem</t>
  </si>
  <si>
    <t>10.70008</t>
  </si>
  <si>
    <t>Labklājības ministrijas atbalsta mērķis "Profesionālā sociālā darba attīstība pašvaldībās," kompensācija par sociālā darba speciālistiem nodrošinātajām apmācībām un supervīziju</t>
  </si>
  <si>
    <t>No projekta Karjeras atbalsts vispārējās un profesionālās izglītības iestādēs uz Suntažiem</t>
  </si>
  <si>
    <t>Sociālie pabalsti</t>
  </si>
  <si>
    <t>Bezdarb nieku stipendi- jas</t>
  </si>
  <si>
    <t>Papildus pilsētas svētku izdevumi</t>
  </si>
  <si>
    <t xml:space="preserve"> </t>
  </si>
  <si>
    <t>Pārcelts uz peldošās platformas ekspluatācijas izdev.</t>
  </si>
  <si>
    <t>Samazināti ēku tehniskās apsekošanas izdevumi</t>
  </si>
  <si>
    <t>PII "Dzīpariņš"</t>
  </si>
  <si>
    <t>PA Rosme atlikums uz gada beigām</t>
  </si>
  <si>
    <t>Basketbolskola</t>
  </si>
  <si>
    <t>2400</t>
  </si>
  <si>
    <t>03.1101</t>
  </si>
  <si>
    <t>Sociālais dienests asistentu pakalpojumi</t>
  </si>
  <si>
    <t>Asistenta pakalpojumu pieaugums</t>
  </si>
  <si>
    <t xml:space="preserve">Sociālie pabalsti </t>
  </si>
  <si>
    <t>6300</t>
  </si>
  <si>
    <t>6400</t>
  </si>
  <si>
    <t>Sociālie pabalsti naudā</t>
  </si>
  <si>
    <t>Aprūpes pakalpojumi</t>
  </si>
  <si>
    <t>EUR 6000 uz projektu Atbalsts izglītojamo individ. kompetenču attīstībai un iekšējas korekcijas</t>
  </si>
  <si>
    <t>EUR 1445 uz projektu Atbalsts izglītojamo individ. kompetenču attīstībai un iekšējas korekcijas</t>
  </si>
  <si>
    <t>EUR 29 Skolu pārvalžu semināra Taurupē dalībnieku ēdināšanas izdevumi uz Taurupes pag. pārvaldes budžetu</t>
  </si>
  <si>
    <t>Skolu pārvalžu semināra Taurupē dalībnieku ēdināšanas izdevumi no Ogres BJC budžeta</t>
  </si>
  <si>
    <t>Pārējie transferti ar citām pašvaldībām</t>
  </si>
  <si>
    <t>Projekta "Lejasdaugavas novadu iedzīvotāju iesaiste velo un ūdens tūrisma maršruta izstrādē" finansējums citām pašvaldībām saskaņā ar Sadarbības Līgumu.</t>
  </si>
  <si>
    <t>Ēkas "Krievskola" kā vietējās tirdzniecības vietas atjaunošana</t>
  </si>
  <si>
    <t>04.51014</t>
  </si>
  <si>
    <t>Iekšējās korekcijas</t>
  </si>
  <si>
    <t>Pārējie remontdarbu pakalpojumi</t>
  </si>
  <si>
    <t>Saskaņā ar Valsts vides dienesta pārvaldes lēmumu tiek piemērota ietekmes uz vidi sākotnējā izvērtējuma procedūra</t>
  </si>
  <si>
    <t>Projektu konkurss "Veidojam vidi ap mums"</t>
  </si>
  <si>
    <t>Plānoto 40000 EUR LVAF finansējuma vietā atgūti 33 187,30 EUR, jo projekta partneri nevarēja apgūt finanses plānotajā apmērā. Ogres novada pašvaldībai samazinājās izdevumi no pašvaldības budžeta no plānotajiem 7339 EUR uz 3380 EUR.</t>
  </si>
  <si>
    <t>Saskaņā ar projekta Līgumu papildus iesaistījušies pedagogi. Pievienojās arī Suntažu vidusskola.</t>
  </si>
  <si>
    <t>Projekta budžeta palielinājums saskaņā ar projekta aktivitātēm.</t>
  </si>
  <si>
    <t>Digitālās kompetences darba tirgū jauniešiem ar ierobežotām iespējām 2017-1-DE04-KA205-015273</t>
  </si>
  <si>
    <t>VPII Dzīpariņš Erasmuss+programmas pamatdarbības Nr.2.skolu apmaiņas projekts (Darbīgās bites)</t>
  </si>
  <si>
    <t>09.82046</t>
  </si>
  <si>
    <t>Sociālo pakalpojumu atbalsta sistēmas pilnveide 9.2.2.2/16/I/001</t>
  </si>
  <si>
    <t>Profesionālā darba attīstība pašvaldībās 9.2.1.1/15/I/001</t>
  </si>
  <si>
    <t>ES projekts "Deinstitucionalizācija un sociālie pakalpojumi personām ar invaliditāti un bērniem" 9.2.2.1/15/I/002</t>
  </si>
  <si>
    <t>No projekta Atbalsts izglītojamo individuālo kompetenču attīstībai uz Ķeipeni</t>
  </si>
  <si>
    <t>EUR 588 pārcelts uz Ķeipenes pag., kā arī sakarā ar to, ka projekta SAM 8.3.2. ietvaros noteiktā vienas vienības metodika par stundas likmi pilnībā nesedz projektā iesaistīto pedagogu darba algas un atvaļinājuma naudu samaksu, nepieciešams pašvaldības līdzfinansējums no IKSP ietaupītajiem līdzekļiem ir 6000 EUR+darba devēja sociālais nodoklis.</t>
  </si>
  <si>
    <t>Vienošanās ar Madlienas pansionātu par transporta pakalpojumiem slimnieka pārvešanai uz pansionātu</t>
  </si>
  <si>
    <t>Vienošanās ar Madlienas pansionātu un Ogres novada Sociālo dienestu par transporta pakalpojumiem slimnieka pārvešanai uz pansionātu</t>
  </si>
  <si>
    <t>Finansējums- kompensācija SIA "Ogres autobuss" zaudējumu segšanai saistībā ar novadnieka kartes ieviešanu</t>
  </si>
  <si>
    <t>Jauns projekts, tā realizācija 2018.-2019.g., kopējā summa EUR 14 904</t>
  </si>
  <si>
    <t>01.6001</t>
  </si>
  <si>
    <t>Pārējie iepriekš neklasificētie vispārējie valdības dienesti (Vēlēšanas)</t>
  </si>
  <si>
    <t>Jauns projekts, projekta finansējums EUR 49 000, darbības termiņš līdz 2019.g. 1. jūlijam</t>
  </si>
  <si>
    <t>Pārcelts no projektu pieteikumu budžeta uz Madlienas pag. autoceļā iebrauktuve uz Madlienas vidusskolu būvproj. Izstrādei EUR 9 922; Samazināts plānotais kredīts ceļu remontiem EUR -450 000</t>
  </si>
  <si>
    <t>Grants ceļu bez cietā seguma posmu pārbūve Ogres novadā</t>
  </si>
  <si>
    <t>SAM 5.6.2.Degradētās teritorijas Pārogres industriālajā parkā revitalizācija</t>
  </si>
  <si>
    <t>Samazināts plānotais kredīts</t>
  </si>
  <si>
    <t>Aizsargmola būvniecība pie Ogres ietekas Daugavā ar mērķi novērst plūdu un krasta erozijas risku apdraudējumu Ogres pilsētā</t>
  </si>
  <si>
    <t>Papildus īpašumu uzmērīšanai</t>
  </si>
  <si>
    <t>pašvaldību uzturēšanās izdevumu transferti citām pašvaldībām</t>
  </si>
  <si>
    <t>EUR 9 077 ieejas piekļuves kontroles sistēmas piegāde un uzstādīšana</t>
  </si>
  <si>
    <t>Iekšējas korekcijas, samazināti vēlēšanu izdevumi</t>
  </si>
  <si>
    <t>9200</t>
  </si>
  <si>
    <t xml:space="preserve">Atgriezts LAD avanss  proj."Ogresgala pamatskolas sporta zāles atjaunošana un modernizēšana Ogres novada iedzīvotāju sportisko aktivitāšu dažādošanai" </t>
  </si>
  <si>
    <t>Naudas līdzekļu samazinājums PA Ogres komunikācijas</t>
  </si>
  <si>
    <t>Ēkas Parka ielā 1, Ogrē siltināšana un rekonstrukcija, pielāgojot pirmsskolas izglītības iestādes vajadzībām</t>
  </si>
  <si>
    <t>Projekta "Ēkas Upes prospektā 16, Ogrē  siltināšana un rekonstrukcija, pielāgojot Ogres novada Sociālā dienesta un tā struktūrvienību vajadzībām"realizācijai NR. A2/1/18/363  trančers Nr.P-313/2018</t>
  </si>
  <si>
    <t>Proj."Ogresgala pamatskolas sporta zāles atjaunošana un modernizēšana Ogres novada iedzīvotāju sportisko aktivitāšu dažādošanai"        P-544/2017</t>
  </si>
  <si>
    <t>Kultūras centra kāpņu ansambļa pārbūve  NR. A2/1/17/862  trančers Nr. P-659/2017</t>
  </si>
  <si>
    <t>Ēkas Parka ielā 1, Ogrē siltināšana un rekonstrukcija, pielāgojot pirmsskolas izglītības iestādes vajadzībām NR. A2/1/17/777  trančers Nr. P-608/2017</t>
  </si>
  <si>
    <t xml:space="preserve"> EUR 115,50 pārcelti no budzeta pozīcijas tehniskās dokumentācijas izstrāde.</t>
  </si>
  <si>
    <t>Gājēju tunelis zem dzelzceļa sliežu ceļiem un Autotransporta tunelis zem dzelzceļa sliežu ceļiem</t>
  </si>
  <si>
    <t>Samazināti izdevumi Veckaupiņu attīrīšanas iekārtu nožogošana</t>
  </si>
  <si>
    <t>Veckaupiņu attīrīšanas iekārtu  ceļa rem.</t>
  </si>
  <si>
    <t>Attīrīšanas iekārtu "Veckaupiņi" ēkas demontāža</t>
  </si>
  <si>
    <t>Ēkas Upes prospektā 16, Ogrē  siltināšana un rekonstrukcija, pielāgojot Ogres novada Sociālā dienesta un tā struktūrvienību vajadzībām</t>
  </si>
  <si>
    <t>Projekta "Ēkas Upes prospektā 16, Ogrē  siltināšana un rekonstrukcija, pielāgojot Ogres novada Sociālā dienesta un tā struktūrvienību vajadzībām"realizācijai</t>
  </si>
  <si>
    <t>Saskaņā ar darbu izpildes grafiku un noslēgto kredītu</t>
  </si>
  <si>
    <t>Teritoriju attīstība (projektēšana)</t>
  </si>
  <si>
    <t>06.200</t>
  </si>
  <si>
    <t>Iekšējas korekcijas (Lokālplānojuma izstrāde)</t>
  </si>
  <si>
    <t>Iesniegums EUR 606 pārcelti Ogresgala pagasta labiekārtošanai paredzētie atlikušie līdzekļi uz pašvaldības labiekārtošanas funkciju un novirzīti Ziemassvētku rotājumiem pagastā; papildus līdzfinansējums dzīvojamo māju energoefektivitātei EUR 17 378 un iekšējas korekcijas funkciju realizācijai (skat. iestāžu tāmēs)</t>
  </si>
  <si>
    <t>Pašvaldības ēku tehniskā apsekošana</t>
  </si>
  <si>
    <t>Projekta tāmes samazinājums</t>
  </si>
  <si>
    <t>Jauns projekts,  100% projekta finansējums,  darbības laiks 01.10.2018.-29.03.2019.</t>
  </si>
  <si>
    <t xml:space="preserve">Vienošanās ar Madlienas pansionātu un Ķeipenes pag. par transporta pakalpojumiem slimnieka pārvešanai </t>
  </si>
  <si>
    <t>Sakarā ar projekta pieteikuma iesniegšanas termiņa pagarinājumu realizācija plānojas uz 2019.gadu.</t>
  </si>
  <si>
    <t>Ogresgala pamatskolas sporta zāles atjaunošana un modernizēšana Ogres novada iedzīvotāju sportisko aktivitāšu dažādošanai (LAD)</t>
  </si>
  <si>
    <t>Kultūras mantojuma saglabāšana un attīstība Daugavas ceļā</t>
  </si>
  <si>
    <t>interneta pieslēgums</t>
  </si>
  <si>
    <t>gaismas sensors krēsliem</t>
  </si>
  <si>
    <t>EUR 10 224 Kultūras ministrijas finansējums Ukrainas bērnu un jauniešu uzņemšanai Ogres novadā un EUR 5 230 pašvaldības līdzfinansējums</t>
  </si>
  <si>
    <t>Projekta realizācija turpināsies 2019.gadā</t>
  </si>
  <si>
    <t>Krapes evaņģēliski luteriskā draudze atgrieza piešķirtos līdzekļus grīdas remontam</t>
  </si>
  <si>
    <t>EUR 1800 pārcelts uz transfertu funkciju 01.8201, atgriezts LAD avanss  proj."Ogresgala pamatskolas sporta zāles atjaunošana un modernizēšana Ogres novada iedzīvotāju sportisko aktivitāšu dažādošanai", tiek samazināts plānotais kredīts EUR 9602</t>
  </si>
  <si>
    <t>8.1.2.SAM "Uzlabot vispārējās izglītības iestāžu mācību vidi Ogres novadā"</t>
  </si>
  <si>
    <t>04.51012</t>
  </si>
  <si>
    <t>Ielas pārbūves darbi tiks turpināti 2019.gadā</t>
  </si>
  <si>
    <t>Atgriezts neizlietotais finansējums proj.  "Veidojam vidi ap mums"</t>
  </si>
  <si>
    <t>Atgriezts neizlietotais finansējums proj.     Papildus aktivitātes  Ogres novada pašvaldības iestādēs (vasaras nometnes)</t>
  </si>
  <si>
    <t>EUR 3 Uz VKKF paredzētais, bet atlikušais neizlietotais projekta finansējums Mākslas skolas materiāli tehniskās bāzes uzlabošanai; EUR 111 par vēlēšanu izdevumiem</t>
  </si>
  <si>
    <t>Naudas balvas</t>
  </si>
  <si>
    <t>EUR 4000 no VKKF grām. "Ogres muzeja raksti" izdošanai un EUR 3000 savstarpēja vienošanās grāmatas "Ogres novada kultūrvēstures pieminekļi" izdošanai</t>
  </si>
  <si>
    <t>proj.  "Veidojam vidi ap mums"</t>
  </si>
  <si>
    <t>Ieņēmumi Ogres Vēstures un mākslas muzejam   no VKKF projekta "Ogres muzeja raksti" īstenošanai</t>
  </si>
  <si>
    <t>EUR 6 304 pārcelts no līdzekļiem "Bērnu rotaļu laukuma ierīkošana pie Čakstes prospekta" uz PA "Ogres komunikācijas" ūdensvada pieslēguma atjaunošanai Čakstes pr. 1; EUR 16 420 kāpņu pie domes Brīvības 33 pārbūvei papildus; EUR 1 400 pārcelts uz projektu pieteikumu funkciju 04.11102 ūdenstūrisma apmetnes vietas topogrāfijas izstrādei Ogresgalā</t>
  </si>
  <si>
    <t>pārcelts uz informatīvajiem izdevumiem</t>
  </si>
  <si>
    <t>Pilsētas svētku atspoguļošanai</t>
  </si>
  <si>
    <t>EUR 9 922 pārcelts uz proj. Grants ceļu pārbūve; EUR 116 pārcelts uz proj. Ēkas "Krievskola" kā vietējās tirdzniecības vietas atjaunošana un iekšējas korekcijas; EUR 1 400 ūdenstūrisma apmetnes vietas topogrāfijas izstrādei Ogresgalā</t>
  </si>
  <si>
    <t>Izdevumu precizējums</t>
  </si>
  <si>
    <t>Pieaudzis ievietoto personu skaits</t>
  </si>
  <si>
    <t>Precizēti izdevumi</t>
  </si>
  <si>
    <t>Projekts tiks realizēts nākošajā 2019. gadā</t>
  </si>
  <si>
    <r>
      <t xml:space="preserve">Informācija par Ogres novada pamatbudžeta transferta maksājumiem, kādiem jābūt </t>
    </r>
    <r>
      <rPr>
        <b/>
        <sz val="10"/>
        <rFont val="Arial"/>
        <family val="2"/>
      </rPr>
      <t>plānotajā 2018.gada decembra budžeta grozījumos</t>
    </r>
    <r>
      <rPr>
        <sz val="10"/>
        <rFont val="Arial"/>
        <family val="0"/>
      </rPr>
      <t>.</t>
    </r>
  </si>
  <si>
    <t>20.12.2018. Saistošajiem noteikumiem Nr.29/2018</t>
  </si>
  <si>
    <t>20.12.2018.  Saistošajiem noteikumiem Nr.29/2018</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</si>
</sst>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Ls&quot;;\-#,##0\ &quot;Ls&quot;"/>
    <numFmt numFmtId="193" formatCode="#,##0\ &quot;Ls&quot;;[Red]\-#,##0\ &quot;Ls&quot;"/>
    <numFmt numFmtId="194" formatCode="#,##0.00\ &quot;Ls&quot;;\-#,##0.00\ &quot;Ls&quot;"/>
    <numFmt numFmtId="195" formatCode="#,##0.00\ &quot;Ls&quot;;[Red]\-#,##0.00\ &quot;Ls&quot;"/>
    <numFmt numFmtId="196" formatCode="_-* #,##0\ &quot;Ls&quot;_-;\-* #,##0\ &quot;Ls&quot;_-;_-* &quot;-&quot;\ &quot;Ls&quot;_-;_-@_-"/>
    <numFmt numFmtId="197" formatCode="_-* #,##0\ _L_s_-;\-* #,##0\ _L_s_-;_-* &quot;-&quot;\ _L_s_-;_-@_-"/>
    <numFmt numFmtId="198" formatCode="_-* #,##0.00\ &quot;Ls&quot;_-;\-* #,##0.00\ &quot;Ls&quot;_-;_-* &quot;-&quot;??\ &quot;Ls&quot;_-;_-@_-"/>
    <numFmt numFmtId="199" formatCode="_-* #,##0.00\ _L_s_-;\-* #,##0.00\ _L_s_-;_-* &quot;-&quot;??\ _L_s_-;_-@_-"/>
    <numFmt numFmtId="200" formatCode="0.0"/>
    <numFmt numFmtId="201" formatCode="0.0000"/>
    <numFmt numFmtId="202" formatCode="0.000"/>
    <numFmt numFmtId="203" formatCode="0.0%"/>
    <numFmt numFmtId="204" formatCode="0.000000000"/>
    <numFmt numFmtId="205" formatCode="0.0000000000"/>
    <numFmt numFmtId="206" formatCode="0.00000000"/>
    <numFmt numFmtId="207" formatCode="0.0000000"/>
    <numFmt numFmtId="208" formatCode="0.000000"/>
    <numFmt numFmtId="209" formatCode="0.00000"/>
    <numFmt numFmtId="210" formatCode="#,##0.0"/>
    <numFmt numFmtId="211" formatCode="_-* #,##0.0_-;\-* #,##0.0_-;_-* &quot;-&quot;??_-;_-@_-"/>
    <numFmt numFmtId="212" formatCode="_-* #,##0_-;\-* #,##0_-;_-* &quot;-&quot;??_-;_-@_-"/>
    <numFmt numFmtId="213" formatCode="_-&quot;Ls&quot;\ * #,##0.0_-;\-&quot;Ls&quot;\ * #,##0.0_-;_-&quot;Ls&quot;\ * &quot;-&quot;??_-;_-@_-"/>
    <numFmt numFmtId="214" formatCode="_-&quot;Ls&quot;\ * #,##0_-;\-&quot;Ls&quot;\ * #,##0_-;_-&quot;Ls&quot;\ * &quot;-&quot;??_-;_-@_-"/>
    <numFmt numFmtId="215" formatCode="&quot;Yes&quot;;&quot;Yes&quot;;&quot;No&quot;"/>
    <numFmt numFmtId="216" formatCode="&quot;True&quot;;&quot;True&quot;;&quot;False&quot;"/>
    <numFmt numFmtId="217" formatCode="&quot;On&quot;;&quot;On&quot;;&quot;Off&quot;"/>
    <numFmt numFmtId="218" formatCode="0."/>
    <numFmt numFmtId="219" formatCode="000000"/>
    <numFmt numFmtId="220" formatCode="dd/mm/yy"/>
    <numFmt numFmtId="221" formatCode="[$€-2]\ #,##0.00_);[Red]\([$€-2]\ #,##0.00\)"/>
    <numFmt numFmtId="222" formatCode="#,##0.000"/>
    <numFmt numFmtId="223" formatCode="&quot;Jā&quot;;&quot;Jā&quot;;&quot;Nē&quot;"/>
    <numFmt numFmtId="224" formatCode="&quot;Patiess&quot;;&quot;Patiess&quot;;&quot;Aplams&quot;"/>
    <numFmt numFmtId="225" formatCode="&quot;Ieslēgts&quot;;&quot;Ieslēgts&quot;;&quot;Izslēgts&quot;"/>
    <numFmt numFmtId="226" formatCode="[$€-2]\ #\ ##,000_);[Red]\([$€-2]\ #\ ##,000\)"/>
  </numFmts>
  <fonts count="65">
    <font>
      <sz val="10"/>
      <name val="Arial"/>
      <family val="0"/>
    </font>
    <font>
      <b/>
      <sz val="10"/>
      <name val="Arial"/>
      <family val="2"/>
    </font>
    <font>
      <sz val="10"/>
      <name val="Times New Roman"/>
      <family val="1"/>
    </font>
    <font>
      <sz val="14"/>
      <name val="Arial"/>
      <family val="2"/>
    </font>
    <font>
      <sz val="11"/>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sz val="12"/>
      <name val="Times New Roman"/>
      <family val="1"/>
    </font>
    <font>
      <b/>
      <sz val="12"/>
      <name val="Times New Roman"/>
      <family val="1"/>
    </font>
    <font>
      <sz val="8"/>
      <name val="Arial"/>
      <family val="2"/>
    </font>
    <font>
      <b/>
      <sz val="10"/>
      <color indexed="10"/>
      <name val="Arial"/>
      <family val="2"/>
    </font>
    <font>
      <sz val="12"/>
      <name val="Times New Roman Baltic"/>
      <family val="1"/>
    </font>
    <font>
      <sz val="11"/>
      <color indexed="10"/>
      <name val="Times New Roman"/>
      <family val="1"/>
    </font>
    <font>
      <sz val="10"/>
      <color indexed="10"/>
      <name val="Arial"/>
      <family val="2"/>
    </font>
    <font>
      <sz val="16"/>
      <name val="Times New Roman"/>
      <family val="1"/>
    </font>
    <font>
      <sz val="14"/>
      <name val="Times New Roman"/>
      <family val="1"/>
    </font>
    <font>
      <i/>
      <sz val="14"/>
      <name val="Times New Roman"/>
      <family val="1"/>
    </font>
    <font>
      <b/>
      <sz val="11"/>
      <color indexed="10"/>
      <name val="Times New Roman"/>
      <family val="1"/>
    </font>
    <font>
      <sz val="11"/>
      <color indexed="8"/>
      <name val="Arial"/>
      <family val="2"/>
    </font>
    <font>
      <sz val="9"/>
      <name val="Arial"/>
      <family val="2"/>
    </font>
    <font>
      <sz val="11"/>
      <color indexed="30"/>
      <name val="Times New Roman"/>
      <family val="1"/>
    </font>
    <font>
      <sz val="11"/>
      <color indexed="60"/>
      <name val="Times New Roman"/>
      <family val="1"/>
    </font>
    <font>
      <b/>
      <sz val="11"/>
      <color indexed="60"/>
      <name val="Times New Roman"/>
      <family val="1"/>
    </font>
    <font>
      <b/>
      <sz val="10"/>
      <name val="Times New Roman"/>
      <family val="1"/>
    </font>
    <font>
      <b/>
      <i/>
      <sz val="11"/>
      <name val="Times New Roman"/>
      <family val="1"/>
    </font>
    <font>
      <sz val="11"/>
      <name val="Times New Roman Baltic"/>
      <family val="1"/>
    </font>
    <font>
      <b/>
      <sz val="11"/>
      <color indexed="30"/>
      <name val="Times New Roman"/>
      <family val="1"/>
    </font>
    <font>
      <b/>
      <sz val="11"/>
      <color indexed="12"/>
      <name val="Times New Roman"/>
      <family val="1"/>
    </font>
    <font>
      <i/>
      <sz val="11"/>
      <name val="Times New Roman"/>
      <family val="1"/>
    </font>
    <font>
      <b/>
      <i/>
      <sz val="11"/>
      <name val="Times New Roman Baltic"/>
      <family val="0"/>
    </font>
    <font>
      <sz val="8"/>
      <color indexed="8"/>
      <name val="Times New Roman"/>
      <family val="1"/>
    </font>
    <font>
      <b/>
      <i/>
      <sz val="11"/>
      <color indexed="8"/>
      <name val="Times New Roman"/>
      <family val="1"/>
    </font>
    <font>
      <sz val="11"/>
      <color indexed="8"/>
      <name val="Times New Roman"/>
      <family val="1"/>
    </font>
    <font>
      <b/>
      <sz val="11"/>
      <color indexed="62"/>
      <name val="Times New Roman"/>
      <family val="1"/>
    </font>
    <font>
      <sz val="10"/>
      <color rgb="FFFF0000"/>
      <name val="Arial"/>
      <family val="2"/>
    </font>
    <font>
      <sz val="11"/>
      <color rgb="FFFF0000"/>
      <name val="Times New Roman"/>
      <family val="1"/>
    </font>
    <font>
      <b/>
      <sz val="11"/>
      <color rgb="FF0070C0"/>
      <name val="Times New Roman"/>
      <family val="1"/>
    </font>
    <font>
      <sz val="8"/>
      <color rgb="FF000000"/>
      <name val="Times New Roman"/>
      <family val="1"/>
    </font>
    <font>
      <b/>
      <i/>
      <sz val="11"/>
      <color theme="1"/>
      <name val="Times New Roman"/>
      <family val="1"/>
    </font>
    <font>
      <sz val="11"/>
      <color theme="1"/>
      <name val="Times New Roman"/>
      <family val="1"/>
    </font>
    <font>
      <b/>
      <sz val="11"/>
      <color theme="3" tint="0.39998000860214233"/>
      <name val="Times New Roman"/>
      <family val="1"/>
    </font>
    <font>
      <b/>
      <sz val="11"/>
      <color rgb="FFFF000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8" tint="0.799979984760284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thin"/>
      <top style="medium"/>
      <bottom style="mediu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thin"/>
    </border>
    <border>
      <left>
        <color indexed="63"/>
      </left>
      <right>
        <color indexed="63"/>
      </right>
      <top style="thin"/>
      <bottom style="thin"/>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thin"/>
      <right>
        <color indexed="63"/>
      </right>
      <top style="thin"/>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style="thin"/>
      <right style="medium"/>
      <top style="thin"/>
      <bottom style="thin"/>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style="medium"/>
      <top style="medium"/>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style="medium"/>
    </border>
    <border>
      <left style="medium"/>
      <right style="medium"/>
      <top>
        <color indexed="63"/>
      </top>
      <bottom style="thin"/>
    </border>
    <border>
      <left style="medium"/>
      <right style="medium"/>
      <top>
        <color indexed="63"/>
      </top>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thin"/>
      <right>
        <color indexed="63"/>
      </right>
      <top>
        <color indexed="63"/>
      </top>
      <bottom style="medium"/>
    </border>
    <border>
      <left style="medium"/>
      <right style="medium"/>
      <top style="thin"/>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24" fillId="0" borderId="0">
      <alignment/>
      <protection/>
    </xf>
    <xf numFmtId="0" fontId="24" fillId="0" borderId="0">
      <alignment/>
      <protection/>
    </xf>
    <xf numFmtId="0" fontId="0" fillId="0" borderId="0">
      <alignment/>
      <protection/>
    </xf>
    <xf numFmtId="0" fontId="0" fillId="23" borderId="7" applyNumberFormat="0" applyFont="0" applyAlignment="0" applyProtection="0"/>
    <xf numFmtId="0" fontId="25" fillId="20" borderId="8" applyNumberFormat="0" applyAlignment="0" applyProtection="0"/>
    <xf numFmtId="0" fontId="0" fillId="0" borderId="0">
      <alignment/>
      <protection/>
    </xf>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636">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horizontal="center" wrapText="1"/>
    </xf>
    <xf numFmtId="0" fontId="6" fillId="0" borderId="0" xfId="0" applyFont="1" applyAlignment="1">
      <alignment horizontal="centerContinuous"/>
    </xf>
    <xf numFmtId="0" fontId="5" fillId="0" borderId="10" xfId="0" applyFont="1" applyBorder="1" applyAlignment="1">
      <alignment/>
    </xf>
    <xf numFmtId="0" fontId="5" fillId="0" borderId="11" xfId="0" applyFont="1" applyBorder="1" applyAlignment="1">
      <alignment/>
    </xf>
    <xf numFmtId="0" fontId="0" fillId="0" borderId="12" xfId="0" applyFont="1" applyBorder="1" applyAlignment="1">
      <alignment/>
    </xf>
    <xf numFmtId="1" fontId="4" fillId="0" borderId="0" xfId="0" applyNumberFormat="1" applyFont="1" applyBorder="1" applyAlignment="1">
      <alignment/>
    </xf>
    <xf numFmtId="1" fontId="5" fillId="0" borderId="0" xfId="0" applyNumberFormat="1" applyFont="1" applyBorder="1" applyAlignment="1">
      <alignment/>
    </xf>
    <xf numFmtId="0" fontId="4" fillId="0" borderId="0" xfId="0" applyFont="1" applyBorder="1" applyAlignment="1">
      <alignment/>
    </xf>
    <xf numFmtId="0" fontId="1" fillId="0" borderId="13" xfId="0" applyFont="1" applyBorder="1" applyAlignment="1">
      <alignment/>
    </xf>
    <xf numFmtId="193" fontId="0" fillId="0" borderId="0" xfId="0" applyNumberFormat="1" applyAlignment="1">
      <alignment/>
    </xf>
    <xf numFmtId="3" fontId="9" fillId="0" borderId="0" xfId="0" applyNumberFormat="1" applyFont="1" applyAlignment="1" applyProtection="1">
      <alignment wrapText="1"/>
      <protection/>
    </xf>
    <xf numFmtId="3" fontId="9" fillId="0" borderId="0" xfId="0" applyNumberFormat="1" applyFont="1" applyAlignment="1" applyProtection="1">
      <alignment/>
      <protection/>
    </xf>
    <xf numFmtId="3" fontId="9" fillId="0" borderId="0" xfId="0" applyNumberFormat="1" applyFont="1" applyBorder="1" applyAlignment="1" applyProtection="1">
      <alignment/>
      <protection/>
    </xf>
    <xf numFmtId="0" fontId="9" fillId="0" borderId="0" xfId="0" applyFont="1" applyBorder="1" applyAlignment="1" applyProtection="1">
      <alignment horizontal="right"/>
      <protection/>
    </xf>
    <xf numFmtId="0" fontId="10" fillId="0" borderId="0" xfId="0" applyFont="1" applyBorder="1" applyAlignment="1" applyProtection="1">
      <alignment horizontal="left" wrapText="1"/>
      <protection/>
    </xf>
    <xf numFmtId="0" fontId="10" fillId="0" borderId="0" xfId="0" applyFont="1" applyBorder="1" applyAlignment="1" applyProtection="1">
      <alignment/>
      <protection/>
    </xf>
    <xf numFmtId="3" fontId="10" fillId="0" borderId="0" xfId="0" applyNumberFormat="1" applyFont="1" applyBorder="1" applyAlignment="1" applyProtection="1">
      <alignment/>
      <protection/>
    </xf>
    <xf numFmtId="0" fontId="9" fillId="0" borderId="0" xfId="0" applyFont="1" applyFill="1" applyBorder="1" applyAlignment="1">
      <alignment wrapText="1"/>
    </xf>
    <xf numFmtId="0" fontId="9" fillId="0" borderId="0" xfId="0" applyFont="1" applyFill="1" applyBorder="1" applyAlignment="1">
      <alignment horizontal="right"/>
    </xf>
    <xf numFmtId="0" fontId="9" fillId="0" borderId="0" xfId="0" applyFont="1" applyAlignment="1" applyProtection="1">
      <alignment horizontal="left" vertical="center" wrapText="1"/>
      <protection/>
    </xf>
    <xf numFmtId="0" fontId="0" fillId="0" borderId="14" xfId="0" applyFont="1" applyFill="1" applyBorder="1" applyAlignment="1">
      <alignment/>
    </xf>
    <xf numFmtId="3" fontId="9" fillId="0" borderId="0" xfId="0" applyNumberFormat="1" applyFont="1" applyFill="1" applyBorder="1" applyAlignment="1" applyProtection="1">
      <alignment horizontal="right" wrapText="1"/>
      <protection/>
    </xf>
    <xf numFmtId="3" fontId="9" fillId="0" borderId="0" xfId="0" applyNumberFormat="1" applyFont="1" applyBorder="1" applyAlignment="1" applyProtection="1">
      <alignment horizontal="right"/>
      <protection/>
    </xf>
    <xf numFmtId="0" fontId="0" fillId="0" borderId="0" xfId="0" applyFont="1" applyFill="1" applyBorder="1" applyAlignment="1">
      <alignment/>
    </xf>
    <xf numFmtId="0" fontId="9" fillId="0" borderId="0" xfId="0" applyFont="1" applyFill="1" applyBorder="1" applyAlignment="1" applyProtection="1">
      <alignment horizontal="center" vertical="center" wrapText="1"/>
      <protection/>
    </xf>
    <xf numFmtId="0" fontId="0" fillId="0" borderId="0" xfId="0" applyFont="1" applyFill="1" applyBorder="1" applyAlignment="1">
      <alignment wrapText="1"/>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protection/>
    </xf>
    <xf numFmtId="0" fontId="2" fillId="0" borderId="0" xfId="0" applyFont="1" applyBorder="1" applyAlignment="1">
      <alignment/>
    </xf>
    <xf numFmtId="0" fontId="0" fillId="0" borderId="0" xfId="0" applyFill="1" applyAlignment="1">
      <alignment/>
    </xf>
    <xf numFmtId="0" fontId="0" fillId="0" borderId="14" xfId="0" applyBorder="1" applyAlignment="1">
      <alignment/>
    </xf>
    <xf numFmtId="0" fontId="0" fillId="0" borderId="14" xfId="0" applyBorder="1" applyAlignment="1">
      <alignment horizontal="center" wrapText="1"/>
    </xf>
    <xf numFmtId="9" fontId="0" fillId="0" borderId="14" xfId="0" applyNumberFormat="1" applyFont="1" applyBorder="1" applyAlignment="1">
      <alignment horizontal="center" wrapText="1"/>
    </xf>
    <xf numFmtId="0" fontId="0" fillId="0" borderId="14" xfId="0" applyBorder="1" applyAlignment="1">
      <alignment wrapText="1"/>
    </xf>
    <xf numFmtId="0" fontId="0" fillId="0" borderId="14" xfId="0" applyFill="1" applyBorder="1" applyAlignment="1">
      <alignment wrapText="1"/>
    </xf>
    <xf numFmtId="3" fontId="9" fillId="0" borderId="14" xfId="0" applyNumberFormat="1" applyFont="1" applyFill="1" applyBorder="1" applyAlignment="1">
      <alignment/>
    </xf>
    <xf numFmtId="1" fontId="1" fillId="0" borderId="14" xfId="0" applyNumberFormat="1" applyFont="1" applyBorder="1" applyAlignment="1">
      <alignment/>
    </xf>
    <xf numFmtId="0" fontId="1" fillId="0" borderId="14" xfId="0" applyFont="1" applyBorder="1" applyAlignment="1">
      <alignment/>
    </xf>
    <xf numFmtId="3" fontId="2" fillId="0" borderId="14" xfId="0" applyNumberFormat="1" applyFont="1" applyFill="1" applyBorder="1" applyAlignment="1">
      <alignment/>
    </xf>
    <xf numFmtId="1" fontId="0" fillId="0" borderId="0" xfId="0" applyNumberFormat="1" applyBorder="1" applyAlignment="1">
      <alignment/>
    </xf>
    <xf numFmtId="0" fontId="0" fillId="0" borderId="14" xfId="0" applyFont="1" applyBorder="1" applyAlignment="1">
      <alignment/>
    </xf>
    <xf numFmtId="0" fontId="33" fillId="0" borderId="14" xfId="0" applyFont="1" applyBorder="1" applyAlignment="1">
      <alignment/>
    </xf>
    <xf numFmtId="0" fontId="1" fillId="0" borderId="14" xfId="0" applyFont="1" applyFill="1" applyBorder="1" applyAlignment="1">
      <alignment/>
    </xf>
    <xf numFmtId="3" fontId="0" fillId="0" borderId="14" xfId="0" applyNumberFormat="1" applyBorder="1" applyAlignment="1">
      <alignment/>
    </xf>
    <xf numFmtId="3" fontId="9" fillId="0" borderId="0" xfId="0" applyNumberFormat="1" applyFont="1" applyFill="1" applyBorder="1" applyAlignment="1">
      <alignment/>
    </xf>
    <xf numFmtId="3" fontId="9" fillId="0" borderId="14" xfId="0" applyNumberFormat="1" applyFont="1" applyFill="1" applyBorder="1" applyAlignment="1">
      <alignment wrapText="1"/>
    </xf>
    <xf numFmtId="0" fontId="0" fillId="0" borderId="0" xfId="0" applyBorder="1" applyAlignment="1">
      <alignment/>
    </xf>
    <xf numFmtId="0" fontId="0" fillId="0" borderId="0" xfId="0" applyFill="1" applyBorder="1" applyAlignment="1">
      <alignment/>
    </xf>
    <xf numFmtId="0" fontId="0" fillId="0" borderId="0" xfId="0" applyFont="1" applyAlignment="1">
      <alignment/>
    </xf>
    <xf numFmtId="0" fontId="5" fillId="0" borderId="0" xfId="0" applyFont="1" applyBorder="1" applyAlignment="1">
      <alignment/>
    </xf>
    <xf numFmtId="0" fontId="1" fillId="0" borderId="13" xfId="0" applyFont="1" applyBorder="1" applyAlignment="1">
      <alignment wrapText="1"/>
    </xf>
    <xf numFmtId="3" fontId="10" fillId="0" borderId="14" xfId="0" applyNumberFormat="1" applyFont="1" applyFill="1" applyBorder="1" applyAlignment="1">
      <alignment/>
    </xf>
    <xf numFmtId="3" fontId="10" fillId="0" borderId="14" xfId="0" applyNumberFormat="1" applyFont="1" applyFill="1" applyBorder="1" applyAlignment="1">
      <alignment horizontal="right"/>
    </xf>
    <xf numFmtId="3" fontId="0" fillId="0" borderId="0" xfId="0" applyNumberFormat="1" applyAlignment="1">
      <alignment/>
    </xf>
    <xf numFmtId="0" fontId="36" fillId="0" borderId="0" xfId="0" applyFont="1" applyFill="1" applyBorder="1" applyAlignment="1">
      <alignment horizontal="center" wrapText="1"/>
    </xf>
    <xf numFmtId="1" fontId="4" fillId="0" borderId="0" xfId="0" applyNumberFormat="1" applyFont="1" applyBorder="1" applyAlignment="1">
      <alignment/>
    </xf>
    <xf numFmtId="0" fontId="4" fillId="0" borderId="0" xfId="0" applyFont="1" applyFill="1" applyBorder="1" applyAlignment="1">
      <alignment/>
    </xf>
    <xf numFmtId="3" fontId="10" fillId="0" borderId="0" xfId="0" applyNumberFormat="1" applyFont="1" applyFill="1" applyBorder="1" applyAlignment="1">
      <alignment/>
    </xf>
    <xf numFmtId="3" fontId="9" fillId="0" borderId="0" xfId="0" applyNumberFormat="1" applyFont="1" applyFill="1" applyBorder="1" applyAlignment="1">
      <alignment wrapText="1"/>
    </xf>
    <xf numFmtId="0" fontId="9" fillId="0" borderId="0" xfId="0" applyFont="1" applyAlignment="1" applyProtection="1">
      <alignment horizontal="right"/>
      <protection/>
    </xf>
    <xf numFmtId="3" fontId="9" fillId="0" borderId="0" xfId="0" applyNumberFormat="1" applyFont="1" applyFill="1" applyBorder="1" applyAlignment="1" applyProtection="1">
      <alignment horizontal="right"/>
      <protection/>
    </xf>
    <xf numFmtId="1" fontId="1" fillId="0" borderId="14" xfId="0" applyNumberFormat="1" applyFont="1" applyFill="1" applyBorder="1" applyAlignment="1">
      <alignment/>
    </xf>
    <xf numFmtId="0" fontId="0" fillId="0" borderId="15" xfId="0" applyFont="1" applyBorder="1" applyAlignment="1">
      <alignment/>
    </xf>
    <xf numFmtId="1" fontId="4" fillId="0" borderId="16" xfId="0" applyNumberFormat="1" applyFont="1" applyBorder="1" applyAlignment="1">
      <alignment/>
    </xf>
    <xf numFmtId="0" fontId="0" fillId="0" borderId="10" xfId="0" applyFont="1" applyBorder="1" applyAlignment="1">
      <alignment/>
    </xf>
    <xf numFmtId="1" fontId="5" fillId="0" borderId="11" xfId="0" applyNumberFormat="1" applyFont="1" applyBorder="1" applyAlignment="1">
      <alignment/>
    </xf>
    <xf numFmtId="0" fontId="4" fillId="0" borderId="0" xfId="0" applyFont="1" applyBorder="1" applyAlignment="1">
      <alignment wrapText="1"/>
    </xf>
    <xf numFmtId="3" fontId="2" fillId="0" borderId="0" xfId="0" applyNumberFormat="1" applyFont="1" applyAlignment="1">
      <alignment/>
    </xf>
    <xf numFmtId="202" fontId="0" fillId="0" borderId="0" xfId="0" applyNumberFormat="1" applyAlignment="1">
      <alignment/>
    </xf>
    <xf numFmtId="0" fontId="9" fillId="0" borderId="0" xfId="0" applyFont="1" applyBorder="1" applyAlignment="1">
      <alignment horizontal="left" wrapText="1"/>
    </xf>
    <xf numFmtId="3" fontId="30" fillId="0" borderId="0" xfId="0" applyNumberFormat="1" applyFont="1" applyFill="1" applyAlignment="1">
      <alignment/>
    </xf>
    <xf numFmtId="1" fontId="5" fillId="0" borderId="17" xfId="0" applyNumberFormat="1" applyFont="1" applyBorder="1" applyAlignment="1">
      <alignment/>
    </xf>
    <xf numFmtId="3" fontId="35" fillId="0" borderId="0" xfId="0" applyNumberFormat="1" applyFont="1" applyFill="1" applyBorder="1" applyAlignment="1">
      <alignment/>
    </xf>
    <xf numFmtId="0" fontId="2" fillId="0" borderId="0" xfId="0" applyFont="1" applyAlignment="1">
      <alignment/>
    </xf>
    <xf numFmtId="0" fontId="30" fillId="0" borderId="14" xfId="0" applyFont="1" applyFill="1" applyBorder="1" applyAlignment="1">
      <alignment wrapText="1"/>
    </xf>
    <xf numFmtId="0" fontId="30" fillId="0" borderId="14" xfId="0" applyFont="1" applyBorder="1" applyAlignment="1">
      <alignment/>
    </xf>
    <xf numFmtId="0" fontId="9" fillId="0" borderId="14" xfId="0" applyFont="1" applyFill="1" applyBorder="1" applyAlignment="1" applyProtection="1">
      <alignment horizontal="left" wrapText="1"/>
      <protection/>
    </xf>
    <xf numFmtId="0" fontId="9" fillId="0" borderId="14" xfId="0" applyFont="1" applyFill="1" applyBorder="1" applyAlignment="1" applyProtection="1">
      <alignment/>
      <protection/>
    </xf>
    <xf numFmtId="0" fontId="35" fillId="0" borderId="0" xfId="0" applyFont="1" applyFill="1" applyBorder="1" applyAlignment="1" applyProtection="1">
      <alignment/>
      <protection/>
    </xf>
    <xf numFmtId="3" fontId="2" fillId="0" borderId="0" xfId="0" applyNumberFormat="1" applyFont="1" applyBorder="1" applyAlignment="1">
      <alignment/>
    </xf>
    <xf numFmtId="0" fontId="0" fillId="0" borderId="14" xfId="0" applyFill="1" applyBorder="1" applyAlignment="1">
      <alignment horizontal="center" wrapText="1"/>
    </xf>
    <xf numFmtId="0" fontId="0" fillId="0" borderId="14" xfId="0" applyFont="1" applyBorder="1" applyAlignment="1">
      <alignment horizontal="center" wrapText="1"/>
    </xf>
    <xf numFmtId="0" fontId="38" fillId="0" borderId="0" xfId="0" applyFont="1" applyAlignment="1" applyProtection="1">
      <alignment horizontal="center" vertical="center" wrapText="1"/>
      <protection/>
    </xf>
    <xf numFmtId="0" fontId="9" fillId="0" borderId="0" xfId="0" applyFont="1" applyAlignment="1" applyProtection="1">
      <alignment horizontal="center"/>
      <protection/>
    </xf>
    <xf numFmtId="0" fontId="9" fillId="0" borderId="0" xfId="0" applyFont="1" applyAlignment="1" applyProtection="1">
      <alignment wrapText="1"/>
      <protection/>
    </xf>
    <xf numFmtId="0" fontId="9" fillId="0" borderId="0" xfId="0" applyFont="1" applyAlignment="1" applyProtection="1">
      <alignment horizontal="center" vertical="top" wrapText="1"/>
      <protection/>
    </xf>
    <xf numFmtId="0" fontId="30" fillId="0" borderId="0" xfId="0" applyFont="1" applyAlignment="1">
      <alignment horizontal="center"/>
    </xf>
    <xf numFmtId="0" fontId="9" fillId="0" borderId="0" xfId="0" applyFont="1" applyAlignment="1">
      <alignment/>
    </xf>
    <xf numFmtId="3" fontId="9" fillId="0" borderId="0" xfId="0" applyNumberFormat="1" applyFont="1" applyAlignment="1">
      <alignment/>
    </xf>
    <xf numFmtId="0" fontId="9" fillId="0" borderId="0" xfId="0" applyFont="1" applyBorder="1" applyAlignment="1">
      <alignment/>
    </xf>
    <xf numFmtId="3" fontId="10" fillId="0" borderId="0" xfId="0" applyNumberFormat="1" applyFont="1" applyBorder="1" applyAlignment="1">
      <alignment/>
    </xf>
    <xf numFmtId="0" fontId="9" fillId="0" borderId="0" xfId="0" applyFont="1" applyFill="1" applyAlignment="1">
      <alignment/>
    </xf>
    <xf numFmtId="3" fontId="9" fillId="0" borderId="0" xfId="0" applyNumberFormat="1" applyFont="1" applyFill="1" applyAlignment="1">
      <alignment wrapText="1"/>
    </xf>
    <xf numFmtId="1" fontId="9" fillId="0" borderId="0" xfId="0" applyNumberFormat="1" applyFont="1" applyFill="1" applyAlignment="1">
      <alignment/>
    </xf>
    <xf numFmtId="0" fontId="10"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horizontal="left" wrapText="1"/>
    </xf>
    <xf numFmtId="0" fontId="9" fillId="0" borderId="0" xfId="0" applyFont="1" applyFill="1" applyBorder="1" applyAlignment="1">
      <alignment/>
    </xf>
    <xf numFmtId="0" fontId="30" fillId="0" borderId="10" xfId="0" applyFont="1" applyFill="1" applyBorder="1" applyAlignment="1">
      <alignment horizontal="center" vertical="center"/>
    </xf>
    <xf numFmtId="0" fontId="30" fillId="0" borderId="13"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10" fillId="0" borderId="10" xfId="0" applyFont="1" applyFill="1" applyBorder="1" applyAlignment="1">
      <alignment horizontal="right"/>
    </xf>
    <xf numFmtId="0" fontId="10" fillId="0" borderId="13" xfId="0" applyFont="1" applyFill="1" applyBorder="1" applyAlignment="1">
      <alignment wrapText="1"/>
    </xf>
    <xf numFmtId="3" fontId="10" fillId="0" borderId="13" xfId="0" applyNumberFormat="1" applyFont="1" applyFill="1" applyBorder="1" applyAlignment="1">
      <alignment/>
    </xf>
    <xf numFmtId="3" fontId="9" fillId="0" borderId="0" xfId="0" applyNumberFormat="1" applyFont="1" applyFill="1" applyAlignment="1">
      <alignment/>
    </xf>
    <xf numFmtId="0" fontId="9" fillId="0" borderId="12" xfId="0" applyFont="1" applyFill="1" applyBorder="1" applyAlignment="1">
      <alignment horizontal="left"/>
    </xf>
    <xf numFmtId="0" fontId="9" fillId="0" borderId="18" xfId="0" applyFont="1" applyFill="1" applyBorder="1" applyAlignment="1">
      <alignment wrapText="1"/>
    </xf>
    <xf numFmtId="3" fontId="9" fillId="0" borderId="18" xfId="0" applyNumberFormat="1" applyFont="1" applyFill="1" applyBorder="1" applyAlignment="1">
      <alignment/>
    </xf>
    <xf numFmtId="0" fontId="9" fillId="0" borderId="19" xfId="0" applyFont="1" applyFill="1" applyBorder="1" applyAlignment="1">
      <alignment horizontal="right"/>
    </xf>
    <xf numFmtId="0" fontId="9" fillId="0" borderId="14" xfId="0" applyFont="1" applyFill="1" applyBorder="1" applyAlignment="1">
      <alignment wrapText="1"/>
    </xf>
    <xf numFmtId="3" fontId="9" fillId="0" borderId="20" xfId="0" applyNumberFormat="1" applyFont="1" applyFill="1" applyBorder="1" applyAlignment="1">
      <alignment/>
    </xf>
    <xf numFmtId="3" fontId="9" fillId="0" borderId="21" xfId="0" applyNumberFormat="1" applyFont="1" applyFill="1" applyBorder="1" applyAlignment="1">
      <alignment/>
    </xf>
    <xf numFmtId="210" fontId="9" fillId="0" borderId="14" xfId="0" applyNumberFormat="1" applyFont="1" applyFill="1" applyBorder="1" applyAlignment="1">
      <alignment/>
    </xf>
    <xf numFmtId="0" fontId="9" fillId="0" borderId="19" xfId="0" applyFont="1" applyFill="1" applyBorder="1" applyAlignment="1">
      <alignment horizontal="left"/>
    </xf>
    <xf numFmtId="1" fontId="9" fillId="0" borderId="21" xfId="0" applyNumberFormat="1" applyFont="1" applyFill="1" applyBorder="1" applyAlignment="1">
      <alignment/>
    </xf>
    <xf numFmtId="1" fontId="9" fillId="0" borderId="14" xfId="0" applyNumberFormat="1" applyFont="1" applyFill="1" applyBorder="1" applyAlignment="1">
      <alignment/>
    </xf>
    <xf numFmtId="0" fontId="9" fillId="0" borderId="15" xfId="0" applyFont="1" applyFill="1" applyBorder="1" applyAlignment="1">
      <alignment horizontal="left"/>
    </xf>
    <xf numFmtId="0" fontId="9" fillId="0" borderId="16" xfId="0" applyFont="1" applyFill="1" applyBorder="1" applyAlignment="1">
      <alignment wrapText="1"/>
    </xf>
    <xf numFmtId="3" fontId="9" fillId="0" borderId="16" xfId="0" applyNumberFormat="1" applyFont="1" applyFill="1" applyBorder="1" applyAlignment="1">
      <alignment/>
    </xf>
    <xf numFmtId="3" fontId="9" fillId="0" borderId="22" xfId="0" applyNumberFormat="1" applyFont="1" applyFill="1" applyBorder="1" applyAlignment="1">
      <alignment/>
    </xf>
    <xf numFmtId="200" fontId="9" fillId="0" borderId="16" xfId="0" applyNumberFormat="1" applyFont="1" applyFill="1" applyBorder="1" applyAlignment="1">
      <alignment/>
    </xf>
    <xf numFmtId="0" fontId="9" fillId="0" borderId="16" xfId="0" applyFont="1" applyFill="1" applyBorder="1" applyAlignment="1">
      <alignment/>
    </xf>
    <xf numFmtId="3" fontId="10" fillId="0" borderId="23" xfId="0" applyNumberFormat="1" applyFont="1" applyFill="1" applyBorder="1" applyAlignment="1">
      <alignment/>
    </xf>
    <xf numFmtId="3" fontId="9" fillId="0" borderId="24" xfId="0" applyNumberFormat="1" applyFont="1" applyFill="1" applyBorder="1" applyAlignment="1">
      <alignment/>
    </xf>
    <xf numFmtId="3" fontId="10" fillId="0" borderId="18" xfId="0" applyNumberFormat="1" applyFont="1" applyFill="1" applyBorder="1" applyAlignment="1">
      <alignment/>
    </xf>
    <xf numFmtId="1" fontId="9" fillId="0" borderId="18" xfId="0" applyNumberFormat="1" applyFont="1" applyFill="1" applyBorder="1" applyAlignment="1">
      <alignment/>
    </xf>
    <xf numFmtId="0" fontId="9" fillId="0" borderId="18" xfId="0" applyFont="1" applyFill="1" applyBorder="1" applyAlignment="1">
      <alignment/>
    </xf>
    <xf numFmtId="0" fontId="9" fillId="0" borderId="14" xfId="0" applyFont="1" applyFill="1" applyBorder="1" applyAlignment="1">
      <alignment/>
    </xf>
    <xf numFmtId="200" fontId="9" fillId="0" borderId="14" xfId="0" applyNumberFormat="1" applyFont="1" applyFill="1" applyBorder="1" applyAlignment="1">
      <alignment/>
    </xf>
    <xf numFmtId="3" fontId="9" fillId="0" borderId="25" xfId="0" applyNumberFormat="1" applyFont="1" applyFill="1" applyBorder="1" applyAlignment="1">
      <alignment/>
    </xf>
    <xf numFmtId="0" fontId="9" fillId="0" borderId="20" xfId="0" applyFont="1" applyFill="1" applyBorder="1" applyAlignment="1">
      <alignment/>
    </xf>
    <xf numFmtId="0" fontId="10" fillId="0" borderId="26" xfId="0" applyFont="1" applyFill="1" applyBorder="1" applyAlignment="1">
      <alignment horizontal="left"/>
    </xf>
    <xf numFmtId="0" fontId="10" fillId="0" borderId="10" xfId="0" applyFont="1" applyFill="1" applyBorder="1" applyAlignment="1">
      <alignment horizontal="left"/>
    </xf>
    <xf numFmtId="0" fontId="9" fillId="0" borderId="27" xfId="0" applyFont="1" applyFill="1" applyBorder="1" applyAlignment="1">
      <alignment horizontal="left"/>
    </xf>
    <xf numFmtId="0" fontId="9" fillId="0" borderId="28" xfId="0" applyFont="1" applyFill="1" applyBorder="1" applyAlignment="1">
      <alignment wrapText="1"/>
    </xf>
    <xf numFmtId="3" fontId="9" fillId="0" borderId="29" xfId="0" applyNumberFormat="1" applyFont="1" applyFill="1" applyBorder="1" applyAlignment="1">
      <alignment/>
    </xf>
    <xf numFmtId="0" fontId="9" fillId="0" borderId="12" xfId="0" applyFont="1" applyFill="1" applyBorder="1" applyAlignment="1">
      <alignment horizontal="right"/>
    </xf>
    <xf numFmtId="200" fontId="9" fillId="0" borderId="18" xfId="0" applyNumberFormat="1" applyFont="1" applyFill="1" applyBorder="1" applyAlignment="1">
      <alignment/>
    </xf>
    <xf numFmtId="0" fontId="10" fillId="0" borderId="19" xfId="0" applyFont="1" applyFill="1" applyBorder="1" applyAlignment="1">
      <alignment horizontal="left"/>
    </xf>
    <xf numFmtId="0" fontId="10" fillId="0" borderId="14" xfId="0" applyFont="1" applyFill="1" applyBorder="1" applyAlignment="1">
      <alignment wrapText="1"/>
    </xf>
    <xf numFmtId="3" fontId="9" fillId="0" borderId="30" xfId="0" applyNumberFormat="1" applyFont="1" applyFill="1" applyBorder="1" applyAlignment="1">
      <alignment/>
    </xf>
    <xf numFmtId="3" fontId="9" fillId="0" borderId="31" xfId="0" applyNumberFormat="1" applyFont="1" applyFill="1" applyBorder="1" applyAlignment="1">
      <alignment/>
    </xf>
    <xf numFmtId="0" fontId="9" fillId="0" borderId="10" xfId="0" applyFont="1" applyFill="1" applyBorder="1" applyAlignment="1">
      <alignment horizontal="right"/>
    </xf>
    <xf numFmtId="0" fontId="10" fillId="0" borderId="13" xfId="0" applyFont="1" applyFill="1" applyBorder="1" applyAlignment="1">
      <alignment horizontal="right" wrapText="1"/>
    </xf>
    <xf numFmtId="3" fontId="10" fillId="0" borderId="13" xfId="0" applyNumberFormat="1" applyFont="1" applyFill="1" applyBorder="1" applyAlignment="1">
      <alignment horizontal="center"/>
    </xf>
    <xf numFmtId="0" fontId="9" fillId="0" borderId="18" xfId="0" applyFont="1" applyFill="1" applyBorder="1" applyAlignment="1" applyProtection="1">
      <alignment/>
      <protection/>
    </xf>
    <xf numFmtId="0" fontId="9" fillId="0" borderId="18" xfId="0" applyFont="1" applyFill="1" applyBorder="1" applyAlignment="1" applyProtection="1">
      <alignment horizontal="left" wrapText="1"/>
      <protection/>
    </xf>
    <xf numFmtId="0" fontId="9" fillId="0" borderId="24" xfId="0" applyFont="1" applyFill="1" applyBorder="1" applyAlignment="1">
      <alignment/>
    </xf>
    <xf numFmtId="0" fontId="10" fillId="0" borderId="14" xfId="0" applyFont="1" applyFill="1" applyBorder="1" applyAlignment="1" applyProtection="1">
      <alignment/>
      <protection/>
    </xf>
    <xf numFmtId="0" fontId="10" fillId="0" borderId="14" xfId="0" applyFont="1" applyFill="1" applyBorder="1" applyAlignment="1" applyProtection="1">
      <alignment horizontal="left" wrapText="1"/>
      <protection/>
    </xf>
    <xf numFmtId="3" fontId="10" fillId="0" borderId="14" xfId="0" applyNumberFormat="1" applyFont="1" applyFill="1" applyBorder="1" applyAlignment="1" applyProtection="1">
      <alignment horizontal="center"/>
      <protection/>
    </xf>
    <xf numFmtId="3" fontId="10" fillId="0" borderId="14" xfId="0" applyNumberFormat="1" applyFont="1" applyFill="1" applyBorder="1" applyAlignment="1" applyProtection="1">
      <alignment/>
      <protection/>
    </xf>
    <xf numFmtId="3" fontId="10" fillId="0" borderId="20" xfId="0" applyNumberFormat="1" applyFont="1" applyFill="1" applyBorder="1" applyAlignment="1" applyProtection="1">
      <alignment/>
      <protection/>
    </xf>
    <xf numFmtId="3" fontId="9" fillId="0" borderId="14" xfId="0" applyNumberFormat="1" applyFont="1" applyFill="1" applyBorder="1" applyAlignment="1" applyProtection="1">
      <alignment horizontal="center"/>
      <protection/>
    </xf>
    <xf numFmtId="0" fontId="10" fillId="0" borderId="0" xfId="0" applyFont="1" applyFill="1" applyBorder="1" applyAlignment="1" applyProtection="1">
      <alignment/>
      <protection/>
    </xf>
    <xf numFmtId="3" fontId="10" fillId="0" borderId="0" xfId="0" applyNumberFormat="1" applyFont="1" applyFill="1" applyBorder="1" applyAlignment="1" applyProtection="1">
      <alignment horizontal="center"/>
      <protection/>
    </xf>
    <xf numFmtId="3" fontId="10" fillId="0" borderId="0" xfId="0" applyNumberFormat="1" applyFont="1" applyFill="1" applyBorder="1" applyAlignment="1" applyProtection="1">
      <alignment/>
      <protection/>
    </xf>
    <xf numFmtId="210" fontId="10" fillId="0" borderId="0" xfId="0" applyNumberFormat="1" applyFont="1" applyFill="1" applyBorder="1" applyAlignment="1">
      <alignment/>
    </xf>
    <xf numFmtId="0" fontId="9" fillId="0" borderId="0" xfId="0" applyFont="1" applyFill="1" applyAlignment="1">
      <alignment wrapText="1"/>
    </xf>
    <xf numFmtId="0" fontId="10" fillId="0" borderId="0" xfId="0" applyFont="1" applyFill="1" applyBorder="1" applyAlignment="1">
      <alignment horizontal="right"/>
    </xf>
    <xf numFmtId="3" fontId="10" fillId="0" borderId="0" xfId="0" applyNumberFormat="1" applyFont="1" applyFill="1" applyBorder="1" applyAlignment="1">
      <alignment wrapText="1"/>
    </xf>
    <xf numFmtId="49" fontId="10" fillId="0" borderId="10" xfId="0" applyNumberFormat="1" applyFont="1" applyFill="1" applyBorder="1" applyAlignment="1">
      <alignment/>
    </xf>
    <xf numFmtId="49" fontId="10" fillId="0" borderId="12" xfId="0" applyNumberFormat="1" applyFont="1" applyFill="1" applyBorder="1" applyAlignment="1">
      <alignment horizontal="right"/>
    </xf>
    <xf numFmtId="0" fontId="10" fillId="0" borderId="18" xfId="0" applyFont="1" applyFill="1" applyBorder="1" applyAlignment="1">
      <alignment wrapText="1"/>
    </xf>
    <xf numFmtId="3" fontId="10" fillId="0" borderId="24" xfId="0" applyNumberFormat="1" applyFont="1" applyFill="1" applyBorder="1" applyAlignment="1">
      <alignment/>
    </xf>
    <xf numFmtId="3" fontId="10" fillId="0" borderId="32" xfId="0" applyNumberFormat="1" applyFont="1" applyFill="1" applyBorder="1" applyAlignment="1">
      <alignment/>
    </xf>
    <xf numFmtId="49" fontId="10" fillId="0" borderId="19" xfId="0" applyNumberFormat="1" applyFont="1" applyFill="1" applyBorder="1" applyAlignment="1">
      <alignment horizontal="right"/>
    </xf>
    <xf numFmtId="3" fontId="10" fillId="0" borderId="20" xfId="0" applyNumberFormat="1" applyFont="1" applyFill="1" applyBorder="1" applyAlignment="1">
      <alignment/>
    </xf>
    <xf numFmtId="49" fontId="9" fillId="0" borderId="19" xfId="0" applyNumberFormat="1" applyFont="1" applyFill="1" applyBorder="1" applyAlignment="1">
      <alignment horizontal="right"/>
    </xf>
    <xf numFmtId="0" fontId="9" fillId="0" borderId="21" xfId="0" applyFont="1" applyFill="1" applyBorder="1" applyAlignment="1">
      <alignment/>
    </xf>
    <xf numFmtId="0" fontId="10" fillId="0" borderId="14" xfId="0" applyFont="1" applyFill="1" applyBorder="1" applyAlignment="1">
      <alignment horizontal="left" wrapText="1"/>
    </xf>
    <xf numFmtId="0" fontId="9" fillId="0" borderId="25" xfId="0" applyFont="1" applyFill="1" applyBorder="1" applyAlignment="1">
      <alignment/>
    </xf>
    <xf numFmtId="49" fontId="9" fillId="0" borderId="19" xfId="0" applyNumberFormat="1" applyFont="1" applyFill="1" applyBorder="1" applyAlignment="1">
      <alignment horizontal="right" wrapText="1"/>
    </xf>
    <xf numFmtId="49" fontId="10" fillId="0" borderId="15" xfId="0" applyNumberFormat="1" applyFont="1" applyFill="1" applyBorder="1" applyAlignment="1">
      <alignment horizontal="right"/>
    </xf>
    <xf numFmtId="0" fontId="10" fillId="0" borderId="16" xfId="0" applyFont="1" applyFill="1" applyBorder="1" applyAlignment="1">
      <alignment wrapText="1"/>
    </xf>
    <xf numFmtId="3" fontId="10" fillId="0" borderId="16" xfId="0" applyNumberFormat="1" applyFont="1" applyFill="1" applyBorder="1" applyAlignment="1">
      <alignment/>
    </xf>
    <xf numFmtId="200" fontId="10" fillId="0" borderId="16" xfId="0" applyNumberFormat="1" applyFont="1" applyFill="1" applyBorder="1" applyAlignment="1">
      <alignment/>
    </xf>
    <xf numFmtId="1" fontId="10" fillId="0" borderId="16" xfId="0" applyNumberFormat="1" applyFont="1" applyFill="1" applyBorder="1" applyAlignment="1">
      <alignment/>
    </xf>
    <xf numFmtId="0" fontId="10" fillId="0" borderId="16" xfId="0" applyFont="1" applyFill="1" applyBorder="1" applyAlignment="1">
      <alignment/>
    </xf>
    <xf numFmtId="49" fontId="10" fillId="0" borderId="10" xfId="0" applyNumberFormat="1" applyFont="1" applyFill="1" applyBorder="1" applyAlignment="1">
      <alignment horizontal="left"/>
    </xf>
    <xf numFmtId="200" fontId="9" fillId="0" borderId="30" xfId="0" applyNumberFormat="1" applyFont="1" applyFill="1" applyBorder="1" applyAlignment="1">
      <alignment/>
    </xf>
    <xf numFmtId="0" fontId="9" fillId="0" borderId="30" xfId="0" applyFont="1" applyFill="1" applyBorder="1" applyAlignment="1">
      <alignment/>
    </xf>
    <xf numFmtId="0" fontId="10" fillId="0" borderId="18" xfId="0" applyFont="1" applyFill="1" applyBorder="1" applyAlignment="1">
      <alignment/>
    </xf>
    <xf numFmtId="49" fontId="9" fillId="0" borderId="12" xfId="0" applyNumberFormat="1" applyFont="1" applyFill="1" applyBorder="1" applyAlignment="1">
      <alignment horizontal="right"/>
    </xf>
    <xf numFmtId="0" fontId="9" fillId="0" borderId="18" xfId="0" applyFont="1" applyFill="1" applyBorder="1" applyAlignment="1">
      <alignment horizontal="left" wrapText="1"/>
    </xf>
    <xf numFmtId="0" fontId="9" fillId="0" borderId="14" xfId="0" applyFont="1" applyFill="1" applyBorder="1" applyAlignment="1">
      <alignment horizontal="left" wrapText="1"/>
    </xf>
    <xf numFmtId="0" fontId="10" fillId="0" borderId="13" xfId="0" applyFont="1" applyFill="1" applyBorder="1" applyAlignment="1">
      <alignment horizontal="left" wrapText="1"/>
    </xf>
    <xf numFmtId="0" fontId="10" fillId="0" borderId="18" xfId="0" applyFont="1" applyFill="1" applyBorder="1" applyAlignment="1">
      <alignment horizontal="left" wrapText="1"/>
    </xf>
    <xf numFmtId="49" fontId="9" fillId="0" borderId="15" xfId="0" applyNumberFormat="1" applyFont="1" applyFill="1" applyBorder="1" applyAlignment="1">
      <alignment horizontal="right"/>
    </xf>
    <xf numFmtId="200" fontId="9" fillId="0" borderId="24" xfId="0" applyNumberFormat="1" applyFont="1" applyFill="1" applyBorder="1" applyAlignment="1">
      <alignment/>
    </xf>
    <xf numFmtId="0" fontId="9" fillId="0" borderId="21" xfId="0" applyFont="1" applyFill="1" applyBorder="1" applyAlignment="1">
      <alignment horizontal="left" wrapText="1"/>
    </xf>
    <xf numFmtId="0" fontId="9" fillId="0" borderId="31" xfId="0" applyFont="1" applyFill="1" applyBorder="1" applyAlignment="1">
      <alignment/>
    </xf>
    <xf numFmtId="0" fontId="9" fillId="0" borderId="33" xfId="0" applyFont="1" applyFill="1" applyBorder="1" applyAlignment="1">
      <alignment/>
    </xf>
    <xf numFmtId="49" fontId="10" fillId="0" borderId="34" xfId="0" applyNumberFormat="1" applyFont="1" applyFill="1" applyBorder="1" applyAlignment="1">
      <alignment horizontal="left"/>
    </xf>
    <xf numFmtId="2" fontId="9" fillId="0" borderId="14" xfId="0" applyNumberFormat="1" applyFont="1" applyFill="1" applyBorder="1" applyAlignment="1">
      <alignment wrapText="1"/>
    </xf>
    <xf numFmtId="2" fontId="10" fillId="0" borderId="14" xfId="0" applyNumberFormat="1" applyFont="1" applyFill="1" applyBorder="1" applyAlignment="1">
      <alignment wrapText="1"/>
    </xf>
    <xf numFmtId="200" fontId="9" fillId="0" borderId="20" xfId="0" applyNumberFormat="1" applyFont="1" applyFill="1" applyBorder="1" applyAlignment="1">
      <alignment/>
    </xf>
    <xf numFmtId="200" fontId="10" fillId="0" borderId="14" xfId="0" applyNumberFormat="1" applyFont="1" applyFill="1" applyBorder="1" applyAlignment="1">
      <alignment/>
    </xf>
    <xf numFmtId="0" fontId="10" fillId="0" borderId="20" xfId="0" applyFont="1" applyFill="1" applyBorder="1" applyAlignment="1">
      <alignment/>
    </xf>
    <xf numFmtId="49" fontId="10" fillId="0" borderId="35" xfId="0" applyNumberFormat="1" applyFont="1" applyFill="1" applyBorder="1" applyAlignment="1">
      <alignment horizontal="right"/>
    </xf>
    <xf numFmtId="0" fontId="10" fillId="0" borderId="36" xfId="0" applyFont="1" applyFill="1" applyBorder="1" applyAlignment="1">
      <alignment wrapText="1"/>
    </xf>
    <xf numFmtId="0" fontId="10" fillId="0" borderId="28" xfId="0" applyFont="1" applyFill="1" applyBorder="1" applyAlignment="1">
      <alignment wrapText="1"/>
    </xf>
    <xf numFmtId="3" fontId="10" fillId="0" borderId="28" xfId="0" applyNumberFormat="1" applyFont="1" applyFill="1" applyBorder="1" applyAlignment="1">
      <alignment/>
    </xf>
    <xf numFmtId="200" fontId="10" fillId="0" borderId="28" xfId="0" applyNumberFormat="1" applyFont="1" applyFill="1" applyBorder="1" applyAlignment="1">
      <alignment/>
    </xf>
    <xf numFmtId="1" fontId="10" fillId="0" borderId="28" xfId="0" applyNumberFormat="1" applyFont="1" applyFill="1" applyBorder="1" applyAlignment="1">
      <alignment/>
    </xf>
    <xf numFmtId="0" fontId="10" fillId="0" borderId="28" xfId="0" applyFont="1" applyFill="1" applyBorder="1" applyAlignment="1">
      <alignment/>
    </xf>
    <xf numFmtId="0" fontId="9" fillId="0" borderId="10" xfId="0" applyFont="1" applyFill="1" applyBorder="1" applyAlignment="1">
      <alignment/>
    </xf>
    <xf numFmtId="3" fontId="10" fillId="0" borderId="13" xfId="0" applyNumberFormat="1" applyFont="1" applyFill="1" applyBorder="1" applyAlignment="1">
      <alignment wrapText="1"/>
    </xf>
    <xf numFmtId="0" fontId="10" fillId="0" borderId="0" xfId="0" applyFont="1" applyFill="1" applyBorder="1" applyAlignment="1">
      <alignment wrapText="1"/>
    </xf>
    <xf numFmtId="3" fontId="10" fillId="0" borderId="0" xfId="0" applyNumberFormat="1" applyFont="1" applyFill="1" applyAlignment="1">
      <alignment/>
    </xf>
    <xf numFmtId="49" fontId="9" fillId="0" borderId="0" xfId="0" applyNumberFormat="1" applyFont="1" applyFill="1" applyAlignment="1">
      <alignment horizontal="center" wrapText="1"/>
    </xf>
    <xf numFmtId="3" fontId="40" fillId="0" borderId="0" xfId="0" applyNumberFormat="1" applyFont="1" applyFill="1" applyAlignment="1">
      <alignment/>
    </xf>
    <xf numFmtId="0" fontId="10" fillId="0" borderId="27" xfId="0" applyFont="1" applyFill="1" applyBorder="1" applyAlignment="1">
      <alignment horizontal="left"/>
    </xf>
    <xf numFmtId="0" fontId="9" fillId="0" borderId="28" xfId="0" applyFont="1" applyFill="1" applyBorder="1" applyAlignment="1">
      <alignment/>
    </xf>
    <xf numFmtId="0" fontId="10" fillId="0" borderId="23" xfId="0" applyFont="1" applyFill="1" applyBorder="1" applyAlignment="1">
      <alignment horizontal="right"/>
    </xf>
    <xf numFmtId="3" fontId="9" fillId="0" borderId="0" xfId="0" applyNumberFormat="1" applyFont="1" applyFill="1" applyBorder="1" applyAlignment="1">
      <alignment horizontal="right" wrapText="1"/>
    </xf>
    <xf numFmtId="1" fontId="4" fillId="0" borderId="16" xfId="0" applyNumberFormat="1" applyFont="1" applyFill="1" applyBorder="1" applyAlignment="1">
      <alignment/>
    </xf>
    <xf numFmtId="1" fontId="4" fillId="0" borderId="16" xfId="0" applyNumberFormat="1" applyFont="1" applyBorder="1" applyAlignment="1">
      <alignment wrapText="1"/>
    </xf>
    <xf numFmtId="1" fontId="9" fillId="0" borderId="16" xfId="0" applyNumberFormat="1" applyFont="1" applyFill="1" applyBorder="1" applyAlignment="1">
      <alignment/>
    </xf>
    <xf numFmtId="0" fontId="9" fillId="0" borderId="0" xfId="0" applyFont="1" applyFill="1" applyBorder="1" applyAlignment="1">
      <alignment horizontal="center"/>
    </xf>
    <xf numFmtId="3" fontId="9" fillId="0" borderId="13" xfId="0" applyNumberFormat="1" applyFont="1" applyFill="1" applyBorder="1" applyAlignment="1" applyProtection="1">
      <alignment horizontal="center" vertical="center" wrapText="1"/>
      <protection/>
    </xf>
    <xf numFmtId="0" fontId="9" fillId="0" borderId="37" xfId="60" applyFont="1" applyFill="1" applyBorder="1" applyAlignment="1">
      <alignment horizontal="center" vertical="center" wrapText="1"/>
      <protection/>
    </xf>
    <xf numFmtId="1" fontId="2" fillId="0" borderId="14" xfId="0" applyNumberFormat="1" applyFont="1" applyFill="1" applyBorder="1" applyAlignment="1">
      <alignment/>
    </xf>
    <xf numFmtId="0" fontId="9" fillId="0" borderId="22" xfId="0" applyFont="1" applyFill="1" applyBorder="1" applyAlignment="1">
      <alignment/>
    </xf>
    <xf numFmtId="3" fontId="2" fillId="0" borderId="16" xfId="0" applyNumberFormat="1" applyFont="1" applyFill="1" applyBorder="1" applyAlignment="1">
      <alignment/>
    </xf>
    <xf numFmtId="3" fontId="9" fillId="24" borderId="38" xfId="0" applyNumberFormat="1" applyFont="1" applyFill="1" applyBorder="1" applyAlignment="1">
      <alignment/>
    </xf>
    <xf numFmtId="3" fontId="9" fillId="0" borderId="39" xfId="0" applyNumberFormat="1" applyFont="1" applyFill="1" applyBorder="1" applyAlignment="1">
      <alignment/>
    </xf>
    <xf numFmtId="1" fontId="9" fillId="0" borderId="30" xfId="0" applyNumberFormat="1" applyFont="1" applyFill="1" applyBorder="1" applyAlignment="1">
      <alignment/>
    </xf>
    <xf numFmtId="3" fontId="10" fillId="0" borderId="40" xfId="0" applyNumberFormat="1" applyFont="1" applyFill="1" applyBorder="1" applyAlignment="1">
      <alignment/>
    </xf>
    <xf numFmtId="1" fontId="10" fillId="0" borderId="38" xfId="0" applyNumberFormat="1" applyFont="1" applyFill="1" applyBorder="1" applyAlignment="1">
      <alignment/>
    </xf>
    <xf numFmtId="0" fontId="10" fillId="0" borderId="22" xfId="0" applyFont="1" applyFill="1" applyBorder="1" applyAlignment="1">
      <alignment/>
    </xf>
    <xf numFmtId="0" fontId="9" fillId="0" borderId="16" xfId="0" applyFont="1" applyBorder="1" applyAlignment="1">
      <alignment horizontal="left" wrapText="1"/>
    </xf>
    <xf numFmtId="0" fontId="9" fillId="24" borderId="14" xfId="0" applyFont="1" applyFill="1" applyBorder="1" applyAlignment="1">
      <alignment/>
    </xf>
    <xf numFmtId="3" fontId="9" fillId="24" borderId="14" xfId="0" applyNumberFormat="1" applyFont="1" applyFill="1" applyBorder="1" applyAlignment="1">
      <alignment/>
    </xf>
    <xf numFmtId="0" fontId="9" fillId="0" borderId="14" xfId="0" applyFont="1" applyBorder="1" applyAlignment="1">
      <alignment horizontal="left" wrapText="1"/>
    </xf>
    <xf numFmtId="0" fontId="10" fillId="0" borderId="41" xfId="0" applyFont="1" applyFill="1" applyBorder="1" applyAlignment="1">
      <alignment/>
    </xf>
    <xf numFmtId="3" fontId="10" fillId="0" borderId="42" xfId="0" applyNumberFormat="1" applyFont="1" applyFill="1" applyBorder="1" applyAlignment="1">
      <alignment/>
    </xf>
    <xf numFmtId="0" fontId="9" fillId="0" borderId="38" xfId="0" applyFont="1" applyFill="1" applyBorder="1" applyAlignment="1">
      <alignment wrapText="1"/>
    </xf>
    <xf numFmtId="3" fontId="10" fillId="0" borderId="34" xfId="0" applyNumberFormat="1" applyFont="1" applyFill="1" applyBorder="1" applyAlignment="1">
      <alignment/>
    </xf>
    <xf numFmtId="1" fontId="5" fillId="0" borderId="13" xfId="0" applyNumberFormat="1" applyFont="1" applyBorder="1" applyAlignment="1">
      <alignment/>
    </xf>
    <xf numFmtId="0" fontId="9" fillId="0" borderId="14" xfId="0" applyFont="1" applyFill="1" applyBorder="1" applyAlignment="1">
      <alignment horizontal="left" wrapText="1"/>
    </xf>
    <xf numFmtId="3" fontId="0" fillId="0" borderId="14" xfId="0" applyNumberFormat="1" applyFont="1" applyFill="1" applyBorder="1" applyAlignment="1">
      <alignment/>
    </xf>
    <xf numFmtId="49" fontId="9" fillId="0" borderId="14" xfId="0" applyNumberFormat="1" applyFont="1" applyFill="1" applyBorder="1" applyAlignment="1">
      <alignment horizontal="right"/>
    </xf>
    <xf numFmtId="49" fontId="9" fillId="0" borderId="14" xfId="0" applyNumberFormat="1" applyFont="1" applyFill="1" applyBorder="1" applyAlignment="1">
      <alignment horizontal="left"/>
    </xf>
    <xf numFmtId="3" fontId="10" fillId="0" borderId="0" xfId="0" applyNumberFormat="1" applyFont="1" applyAlignment="1">
      <alignment/>
    </xf>
    <xf numFmtId="0" fontId="2" fillId="0" borderId="0" xfId="0" applyFont="1" applyFill="1" applyBorder="1" applyAlignment="1">
      <alignment horizontal="right" wrapText="1"/>
    </xf>
    <xf numFmtId="3" fontId="0" fillId="0" borderId="14" xfId="0" applyNumberFormat="1" applyFont="1" applyBorder="1" applyAlignment="1">
      <alignment/>
    </xf>
    <xf numFmtId="3" fontId="35" fillId="0" borderId="14" xfId="0" applyNumberFormat="1" applyFont="1" applyFill="1" applyBorder="1" applyAlignment="1">
      <alignment/>
    </xf>
    <xf numFmtId="3" fontId="10" fillId="0" borderId="22" xfId="0" applyNumberFormat="1" applyFont="1" applyFill="1" applyBorder="1" applyAlignment="1">
      <alignment/>
    </xf>
    <xf numFmtId="1" fontId="9" fillId="0" borderId="25" xfId="0" applyNumberFormat="1" applyFont="1" applyFill="1" applyBorder="1" applyAlignment="1">
      <alignment/>
    </xf>
    <xf numFmtId="3" fontId="10" fillId="0" borderId="23" xfId="0" applyNumberFormat="1" applyFont="1" applyFill="1" applyBorder="1" applyAlignment="1">
      <alignment horizontal="center"/>
    </xf>
    <xf numFmtId="0" fontId="10" fillId="0" borderId="0" xfId="0" applyFont="1" applyFill="1" applyBorder="1" applyAlignment="1" applyProtection="1">
      <alignment horizontal="right" wrapText="1"/>
      <protection/>
    </xf>
    <xf numFmtId="0" fontId="9" fillId="0" borderId="16" xfId="58" applyFont="1" applyFill="1" applyBorder="1" applyAlignment="1">
      <alignment horizontal="left" wrapText="1"/>
      <protection/>
    </xf>
    <xf numFmtId="0" fontId="9" fillId="0" borderId="22" xfId="58" applyFont="1" applyFill="1" applyBorder="1" applyAlignment="1">
      <alignment horizontal="left" wrapText="1"/>
      <protection/>
    </xf>
    <xf numFmtId="0" fontId="9" fillId="0" borderId="14" xfId="58" applyFont="1" applyFill="1" applyBorder="1" applyAlignment="1">
      <alignment horizontal="left" vertical="center" wrapText="1"/>
      <protection/>
    </xf>
    <xf numFmtId="0" fontId="9" fillId="0" borderId="14" xfId="58" applyFont="1" applyFill="1" applyBorder="1" applyAlignment="1">
      <alignment horizontal="left" wrapText="1"/>
      <protection/>
    </xf>
    <xf numFmtId="3" fontId="9" fillId="0" borderId="28" xfId="0" applyNumberFormat="1" applyFont="1" applyFill="1" applyBorder="1" applyAlignment="1">
      <alignment/>
    </xf>
    <xf numFmtId="0" fontId="0" fillId="0" borderId="0" xfId="0" applyFont="1" applyAlignment="1">
      <alignment horizontal="centerContinuous"/>
    </xf>
    <xf numFmtId="0" fontId="1" fillId="0" borderId="0" xfId="0" applyFont="1" applyAlignment="1">
      <alignment horizontal="centerContinuous"/>
    </xf>
    <xf numFmtId="0" fontId="1" fillId="0" borderId="23" xfId="0" applyFont="1" applyBorder="1" applyAlignment="1">
      <alignment/>
    </xf>
    <xf numFmtId="0" fontId="1" fillId="0" borderId="11" xfId="0" applyFont="1" applyBorder="1" applyAlignment="1">
      <alignment/>
    </xf>
    <xf numFmtId="0" fontId="0" fillId="0" borderId="43" xfId="0" applyFont="1" applyBorder="1" applyAlignment="1">
      <alignment/>
    </xf>
    <xf numFmtId="1" fontId="5" fillId="0" borderId="41" xfId="0" applyNumberFormat="1" applyFont="1" applyBorder="1" applyAlignment="1">
      <alignment/>
    </xf>
    <xf numFmtId="0" fontId="0" fillId="0" borderId="44" xfId="0" applyFont="1" applyBorder="1" applyAlignment="1">
      <alignment/>
    </xf>
    <xf numFmtId="0" fontId="4" fillId="0" borderId="16" xfId="0" applyFont="1" applyBorder="1" applyAlignment="1">
      <alignment/>
    </xf>
    <xf numFmtId="1" fontId="5" fillId="0" borderId="45" xfId="0" applyNumberFormat="1" applyFont="1" applyBorder="1" applyAlignment="1">
      <alignment/>
    </xf>
    <xf numFmtId="0" fontId="0" fillId="0" borderId="10" xfId="0" applyFont="1" applyBorder="1" applyAlignment="1">
      <alignment wrapText="1"/>
    </xf>
    <xf numFmtId="0" fontId="5" fillId="0" borderId="13" xfId="0" applyFont="1" applyBorder="1" applyAlignment="1">
      <alignment/>
    </xf>
    <xf numFmtId="0" fontId="0" fillId="0" borderId="0" xfId="0" applyFont="1" applyBorder="1" applyAlignment="1">
      <alignment wrapText="1"/>
    </xf>
    <xf numFmtId="0" fontId="1" fillId="0" borderId="13" xfId="0" applyFont="1" applyBorder="1" applyAlignment="1">
      <alignment/>
    </xf>
    <xf numFmtId="0" fontId="1" fillId="0" borderId="13" xfId="0" applyFont="1" applyBorder="1" applyAlignment="1">
      <alignment horizontal="center" wrapText="1"/>
    </xf>
    <xf numFmtId="0" fontId="1" fillId="0" borderId="23" xfId="0" applyFont="1" applyBorder="1" applyAlignment="1">
      <alignment wrapText="1"/>
    </xf>
    <xf numFmtId="0" fontId="1" fillId="0" borderId="13" xfId="0" applyFont="1" applyBorder="1" applyAlignment="1">
      <alignment wrapText="1"/>
    </xf>
    <xf numFmtId="0" fontId="1" fillId="0" borderId="31" xfId="0" applyFont="1" applyFill="1" applyBorder="1" applyAlignment="1">
      <alignment wrapText="1"/>
    </xf>
    <xf numFmtId="0" fontId="5" fillId="0" borderId="0" xfId="0" applyFont="1" applyBorder="1" applyAlignment="1">
      <alignment/>
    </xf>
    <xf numFmtId="0" fontId="10" fillId="0" borderId="28" xfId="0" applyFont="1" applyBorder="1" applyAlignment="1">
      <alignment/>
    </xf>
    <xf numFmtId="0" fontId="0" fillId="0" borderId="46" xfId="0" applyFont="1" applyBorder="1" applyAlignment="1">
      <alignment/>
    </xf>
    <xf numFmtId="1" fontId="4" fillId="0" borderId="38" xfId="0" applyNumberFormat="1" applyFont="1" applyBorder="1" applyAlignment="1">
      <alignment/>
    </xf>
    <xf numFmtId="1" fontId="5" fillId="0" borderId="39" xfId="0" applyNumberFormat="1" applyFont="1" applyBorder="1" applyAlignment="1">
      <alignment/>
    </xf>
    <xf numFmtId="1" fontId="4" fillId="0" borderId="31" xfId="0" applyNumberFormat="1" applyFont="1" applyFill="1" applyBorder="1" applyAlignment="1">
      <alignment/>
    </xf>
    <xf numFmtId="0" fontId="0" fillId="0" borderId="35" xfId="0" applyFont="1" applyBorder="1" applyAlignment="1">
      <alignment/>
    </xf>
    <xf numFmtId="1" fontId="5" fillId="0" borderId="38" xfId="0" applyNumberFormat="1" applyFont="1" applyBorder="1" applyAlignment="1">
      <alignment/>
    </xf>
    <xf numFmtId="1" fontId="5" fillId="0" borderId="47" xfId="0" applyNumberFormat="1" applyFont="1" applyBorder="1" applyAlignment="1">
      <alignment/>
    </xf>
    <xf numFmtId="1" fontId="4" fillId="0" borderId="0" xfId="0" applyNumberFormat="1" applyFont="1" applyFill="1" applyBorder="1" applyAlignment="1">
      <alignment/>
    </xf>
    <xf numFmtId="1" fontId="0" fillId="0" borderId="16" xfId="0" applyNumberFormat="1" applyFont="1" applyBorder="1" applyAlignment="1">
      <alignment/>
    </xf>
    <xf numFmtId="1" fontId="41" fillId="0" borderId="16" xfId="0" applyNumberFormat="1" applyFont="1" applyFill="1" applyBorder="1" applyAlignment="1">
      <alignment/>
    </xf>
    <xf numFmtId="3" fontId="9" fillId="24" borderId="20" xfId="0" applyNumberFormat="1" applyFont="1" applyFill="1" applyBorder="1" applyAlignment="1">
      <alignment/>
    </xf>
    <xf numFmtId="3" fontId="10" fillId="0" borderId="31" xfId="0" applyNumberFormat="1" applyFont="1" applyFill="1" applyBorder="1" applyAlignment="1">
      <alignment/>
    </xf>
    <xf numFmtId="3" fontId="10" fillId="0" borderId="30" xfId="0" applyNumberFormat="1" applyFont="1" applyFill="1" applyBorder="1" applyAlignment="1">
      <alignment/>
    </xf>
    <xf numFmtId="0" fontId="9" fillId="0" borderId="30" xfId="58" applyFont="1" applyFill="1" applyBorder="1" applyAlignment="1">
      <alignment horizontal="left" wrapText="1"/>
      <protection/>
    </xf>
    <xf numFmtId="200" fontId="9" fillId="0" borderId="31" xfId="0" applyNumberFormat="1" applyFont="1" applyFill="1" applyBorder="1" applyAlignment="1">
      <alignment/>
    </xf>
    <xf numFmtId="0" fontId="9" fillId="0" borderId="0" xfId="0" applyFont="1" applyAlignment="1">
      <alignment wrapText="1"/>
    </xf>
    <xf numFmtId="0" fontId="9" fillId="0" borderId="20" xfId="58" applyFont="1" applyFill="1" applyBorder="1" applyAlignment="1">
      <alignment horizontal="left" wrapText="1"/>
      <protection/>
    </xf>
    <xf numFmtId="3" fontId="9" fillId="0" borderId="0" xfId="0" applyNumberFormat="1" applyFont="1" applyFill="1" applyBorder="1" applyAlignment="1">
      <alignment horizontal="right"/>
    </xf>
    <xf numFmtId="3" fontId="10" fillId="0" borderId="0" xfId="0" applyNumberFormat="1" applyFont="1" applyFill="1" applyBorder="1" applyAlignment="1" applyProtection="1">
      <alignment horizontal="right"/>
      <protection/>
    </xf>
    <xf numFmtId="3" fontId="43" fillId="0" borderId="14" xfId="0" applyNumberFormat="1" applyFont="1" applyFill="1" applyBorder="1" applyAlignment="1">
      <alignment/>
    </xf>
    <xf numFmtId="0" fontId="9" fillId="0" borderId="18" xfId="58" applyFont="1" applyFill="1" applyBorder="1" applyAlignment="1">
      <alignment horizontal="left" wrapText="1"/>
      <protection/>
    </xf>
    <xf numFmtId="3" fontId="2" fillId="0" borderId="21" xfId="0" applyNumberFormat="1" applyFont="1" applyFill="1" applyBorder="1" applyAlignment="1">
      <alignment/>
    </xf>
    <xf numFmtId="3" fontId="2" fillId="0" borderId="29" xfId="0" applyNumberFormat="1" applyFont="1" applyFill="1" applyBorder="1" applyAlignment="1">
      <alignment/>
    </xf>
    <xf numFmtId="3" fontId="10" fillId="0" borderId="48" xfId="0" applyNumberFormat="1" applyFont="1" applyFill="1" applyBorder="1" applyAlignment="1">
      <alignment/>
    </xf>
    <xf numFmtId="3" fontId="9" fillId="24" borderId="16" xfId="0" applyNumberFormat="1" applyFont="1" applyFill="1" applyBorder="1" applyAlignment="1">
      <alignment/>
    </xf>
    <xf numFmtId="0" fontId="0" fillId="0" borderId="48" xfId="0" applyBorder="1" applyAlignment="1">
      <alignment/>
    </xf>
    <xf numFmtId="0" fontId="42" fillId="0" borderId="14" xfId="0" applyFont="1" applyBorder="1" applyAlignment="1">
      <alignment horizontal="center" wrapText="1"/>
    </xf>
    <xf numFmtId="3" fontId="9" fillId="0" borderId="0" xfId="0" applyNumberFormat="1" applyFont="1" applyFill="1" applyAlignment="1">
      <alignment horizontal="left"/>
    </xf>
    <xf numFmtId="3" fontId="10" fillId="0" borderId="49" xfId="0" applyNumberFormat="1" applyFont="1" applyFill="1" applyBorder="1" applyAlignment="1">
      <alignment/>
    </xf>
    <xf numFmtId="3" fontId="10" fillId="0" borderId="50" xfId="0" applyNumberFormat="1" applyFont="1" applyFill="1" applyBorder="1" applyAlignment="1">
      <alignment/>
    </xf>
    <xf numFmtId="3" fontId="10" fillId="0" borderId="51" xfId="0" applyNumberFormat="1" applyFont="1" applyFill="1" applyBorder="1" applyAlignment="1">
      <alignment/>
    </xf>
    <xf numFmtId="0" fontId="31" fillId="0" borderId="0" xfId="0" applyFont="1" applyBorder="1" applyAlignment="1">
      <alignment wrapText="1"/>
    </xf>
    <xf numFmtId="3" fontId="10" fillId="0" borderId="25" xfId="0" applyNumberFormat="1" applyFont="1" applyFill="1" applyBorder="1" applyAlignment="1">
      <alignment/>
    </xf>
    <xf numFmtId="3" fontId="10" fillId="0" borderId="21" xfId="0" applyNumberFormat="1" applyFont="1" applyFill="1" applyBorder="1" applyAlignment="1">
      <alignment/>
    </xf>
    <xf numFmtId="1" fontId="2" fillId="0" borderId="30" xfId="0" applyNumberFormat="1" applyFont="1" applyFill="1" applyBorder="1" applyAlignment="1">
      <alignment/>
    </xf>
    <xf numFmtId="1" fontId="9" fillId="0" borderId="52" xfId="0" applyNumberFormat="1" applyFont="1" applyFill="1" applyBorder="1" applyAlignment="1">
      <alignment/>
    </xf>
    <xf numFmtId="3" fontId="35" fillId="0" borderId="0" xfId="0" applyNumberFormat="1" applyFont="1" applyFill="1" applyBorder="1" applyAlignment="1" applyProtection="1">
      <alignment horizontal="center"/>
      <protection/>
    </xf>
    <xf numFmtId="3" fontId="35" fillId="0" borderId="0" xfId="0" applyNumberFormat="1" applyFont="1" applyFill="1" applyAlignment="1">
      <alignment/>
    </xf>
    <xf numFmtId="3" fontId="10" fillId="24" borderId="23" xfId="0" applyNumberFormat="1" applyFont="1" applyFill="1" applyBorder="1" applyAlignment="1">
      <alignment/>
    </xf>
    <xf numFmtId="3" fontId="10" fillId="24" borderId="24" xfId="0" applyNumberFormat="1" applyFont="1" applyFill="1" applyBorder="1" applyAlignment="1">
      <alignment/>
    </xf>
    <xf numFmtId="3" fontId="10" fillId="0" borderId="53" xfId="0" applyNumberFormat="1" applyFont="1" applyFill="1" applyBorder="1" applyAlignment="1">
      <alignment/>
    </xf>
    <xf numFmtId="3" fontId="10" fillId="24" borderId="20" xfId="0" applyNumberFormat="1" applyFont="1" applyFill="1" applyBorder="1" applyAlignment="1">
      <alignment/>
    </xf>
    <xf numFmtId="3" fontId="10" fillId="0" borderId="54" xfId="0" applyNumberFormat="1" applyFont="1" applyFill="1" applyBorder="1" applyAlignment="1">
      <alignment/>
    </xf>
    <xf numFmtId="3" fontId="9" fillId="24" borderId="22" xfId="0" applyNumberFormat="1" applyFont="1" applyFill="1" applyBorder="1" applyAlignment="1">
      <alignment/>
    </xf>
    <xf numFmtId="3" fontId="10" fillId="0" borderId="55" xfId="0" applyNumberFormat="1" applyFont="1" applyFill="1" applyBorder="1" applyAlignment="1">
      <alignment/>
    </xf>
    <xf numFmtId="3" fontId="9" fillId="24" borderId="24" xfId="0" applyNumberFormat="1" applyFont="1" applyFill="1" applyBorder="1" applyAlignment="1">
      <alignment/>
    </xf>
    <xf numFmtId="3" fontId="9" fillId="24" borderId="31" xfId="0" applyNumberFormat="1" applyFont="1" applyFill="1" applyBorder="1" applyAlignment="1">
      <alignment/>
    </xf>
    <xf numFmtId="3" fontId="9" fillId="0" borderId="51" xfId="0" applyNumberFormat="1" applyFont="1" applyFill="1" applyBorder="1" applyAlignment="1">
      <alignment/>
    </xf>
    <xf numFmtId="0" fontId="35" fillId="0" borderId="24" xfId="0" applyFont="1" applyFill="1" applyBorder="1" applyAlignment="1">
      <alignment/>
    </xf>
    <xf numFmtId="3" fontId="9" fillId="0" borderId="54" xfId="0" applyNumberFormat="1" applyFont="1" applyFill="1" applyBorder="1" applyAlignment="1">
      <alignment/>
    </xf>
    <xf numFmtId="3" fontId="10" fillId="0" borderId="56" xfId="0" applyNumberFormat="1" applyFont="1" applyFill="1" applyBorder="1" applyAlignment="1">
      <alignment/>
    </xf>
    <xf numFmtId="0" fontId="9" fillId="24" borderId="20" xfId="0" applyFont="1" applyFill="1" applyBorder="1" applyAlignment="1">
      <alignment/>
    </xf>
    <xf numFmtId="0" fontId="9" fillId="0" borderId="30" xfId="0" applyFont="1" applyFill="1" applyBorder="1" applyAlignment="1">
      <alignment horizontal="left" wrapText="1"/>
    </xf>
    <xf numFmtId="0" fontId="9" fillId="24" borderId="31" xfId="0" applyFont="1" applyFill="1" applyBorder="1" applyAlignment="1">
      <alignment/>
    </xf>
    <xf numFmtId="0" fontId="9" fillId="0" borderId="30" xfId="0" applyFont="1" applyFill="1" applyBorder="1" applyAlignment="1">
      <alignment wrapText="1"/>
    </xf>
    <xf numFmtId="1" fontId="9" fillId="0" borderId="31" xfId="0" applyNumberFormat="1" applyFont="1" applyFill="1" applyBorder="1" applyAlignment="1">
      <alignment/>
    </xf>
    <xf numFmtId="3" fontId="10" fillId="24" borderId="14" xfId="0" applyNumberFormat="1" applyFont="1" applyFill="1" applyBorder="1" applyAlignment="1">
      <alignment/>
    </xf>
    <xf numFmtId="0" fontId="9" fillId="0" borderId="14" xfId="0" applyFont="1" applyFill="1" applyBorder="1" applyAlignment="1">
      <alignment horizontal="center" wrapText="1"/>
    </xf>
    <xf numFmtId="0" fontId="10" fillId="0" borderId="0" xfId="0" applyFont="1" applyBorder="1" applyAlignment="1">
      <alignment wrapText="1"/>
    </xf>
    <xf numFmtId="3" fontId="10" fillId="24" borderId="13" xfId="0" applyNumberFormat="1" applyFont="1" applyFill="1" applyBorder="1" applyAlignment="1">
      <alignment/>
    </xf>
    <xf numFmtId="3" fontId="10" fillId="24" borderId="57" xfId="0" applyNumberFormat="1" applyFont="1" applyFill="1" applyBorder="1" applyAlignment="1">
      <alignment/>
    </xf>
    <xf numFmtId="3" fontId="10" fillId="0" borderId="58" xfId="0" applyNumberFormat="1" applyFont="1" applyFill="1" applyBorder="1" applyAlignment="1">
      <alignment/>
    </xf>
    <xf numFmtId="3" fontId="2" fillId="0" borderId="0" xfId="0" applyNumberFormat="1" applyFont="1" applyFill="1" applyBorder="1" applyAlignment="1">
      <alignment/>
    </xf>
    <xf numFmtId="0" fontId="44" fillId="0" borderId="0" xfId="0" applyFont="1" applyFill="1" applyAlignment="1">
      <alignment/>
    </xf>
    <xf numFmtId="0" fontId="44" fillId="0" borderId="0" xfId="0" applyFont="1" applyFill="1" applyBorder="1" applyAlignment="1">
      <alignment horizontal="left" wrapText="1"/>
    </xf>
    <xf numFmtId="3" fontId="45" fillId="0" borderId="0" xfId="0" applyNumberFormat="1" applyFont="1" applyFill="1" applyBorder="1" applyAlignment="1">
      <alignment/>
    </xf>
    <xf numFmtId="4" fontId="45" fillId="0" borderId="0" xfId="0" applyNumberFormat="1" applyFont="1" applyFill="1" applyBorder="1" applyAlignment="1">
      <alignment/>
    </xf>
    <xf numFmtId="0" fontId="10" fillId="0" borderId="0" xfId="0" applyFont="1" applyBorder="1" applyAlignment="1">
      <alignment/>
    </xf>
    <xf numFmtId="0" fontId="10" fillId="0" borderId="32" xfId="0" applyFont="1" applyBorder="1" applyAlignment="1">
      <alignment/>
    </xf>
    <xf numFmtId="1" fontId="10" fillId="0" borderId="32" xfId="0" applyNumberFormat="1" applyFont="1" applyBorder="1" applyAlignment="1">
      <alignment/>
    </xf>
    <xf numFmtId="0" fontId="46" fillId="0" borderId="32" xfId="0" applyFont="1" applyBorder="1" applyAlignment="1">
      <alignment/>
    </xf>
    <xf numFmtId="0" fontId="46" fillId="0" borderId="28" xfId="0" applyFont="1" applyBorder="1" applyAlignment="1">
      <alignment/>
    </xf>
    <xf numFmtId="3" fontId="10" fillId="0" borderId="28" xfId="0" applyNumberFormat="1" applyFont="1" applyBorder="1" applyAlignment="1">
      <alignment/>
    </xf>
    <xf numFmtId="3" fontId="10" fillId="0" borderId="32" xfId="0" applyNumberFormat="1" applyFont="1" applyBorder="1" applyAlignment="1">
      <alignment/>
    </xf>
    <xf numFmtId="3" fontId="10" fillId="0" borderId="33" xfId="0" applyNumberFormat="1" applyFont="1" applyFill="1" applyBorder="1" applyAlignment="1">
      <alignment/>
    </xf>
    <xf numFmtId="49" fontId="10" fillId="0" borderId="46" xfId="0" applyNumberFormat="1" applyFont="1" applyFill="1" applyBorder="1" applyAlignment="1">
      <alignment horizontal="right"/>
    </xf>
    <xf numFmtId="0" fontId="9" fillId="0" borderId="14" xfId="0" applyFont="1" applyBorder="1" applyAlignment="1">
      <alignment horizontal="center" wrapText="1"/>
    </xf>
    <xf numFmtId="0" fontId="57" fillId="0" borderId="0" xfId="0" applyFont="1" applyAlignment="1">
      <alignment/>
    </xf>
    <xf numFmtId="0" fontId="0" fillId="0" borderId="18" xfId="0" applyFont="1" applyBorder="1" applyAlignment="1">
      <alignment/>
    </xf>
    <xf numFmtId="0" fontId="42" fillId="0" borderId="18" xfId="0" applyFont="1" applyBorder="1" applyAlignment="1">
      <alignment horizontal="center" wrapText="1"/>
    </xf>
    <xf numFmtId="3" fontId="30" fillId="0" borderId="0" xfId="0" applyNumberFormat="1" applyFont="1" applyFill="1" applyBorder="1" applyAlignment="1">
      <alignment horizontal="right"/>
    </xf>
    <xf numFmtId="3" fontId="30" fillId="25" borderId="14" xfId="0" applyNumberFormat="1" applyFont="1" applyFill="1" applyBorder="1" applyAlignment="1">
      <alignment/>
    </xf>
    <xf numFmtId="3" fontId="1" fillId="0" borderId="14" xfId="0" applyNumberFormat="1" applyFont="1" applyBorder="1" applyAlignment="1">
      <alignment/>
    </xf>
    <xf numFmtId="0" fontId="10" fillId="0" borderId="16" xfId="0" applyFont="1" applyBorder="1" applyAlignment="1">
      <alignment horizontal="left" wrapText="1"/>
    </xf>
    <xf numFmtId="3" fontId="9" fillId="0" borderId="14" xfId="0" applyNumberFormat="1" applyFont="1" applyFill="1" applyBorder="1" applyAlignment="1">
      <alignment horizontal="left" wrapText="1"/>
    </xf>
    <xf numFmtId="3" fontId="10" fillId="0" borderId="0" xfId="0" applyNumberFormat="1" applyFont="1" applyBorder="1" applyAlignment="1" applyProtection="1">
      <alignment horizontal="right"/>
      <protection/>
    </xf>
    <xf numFmtId="49" fontId="9" fillId="0" borderId="26" xfId="0" applyNumberFormat="1" applyFont="1" applyFill="1" applyBorder="1" applyAlignment="1">
      <alignment horizontal="right"/>
    </xf>
    <xf numFmtId="3" fontId="58" fillId="0" borderId="0" xfId="0" applyNumberFormat="1" applyFont="1" applyFill="1" applyAlignment="1">
      <alignment/>
    </xf>
    <xf numFmtId="0" fontId="38" fillId="0" borderId="0" xfId="0" applyFont="1" applyAlignment="1">
      <alignment horizontal="center" wrapText="1"/>
    </xf>
    <xf numFmtId="0" fontId="9" fillId="0" borderId="0" xfId="0" applyFont="1" applyFill="1" applyBorder="1" applyAlignment="1">
      <alignment horizontal="left" wrapText="1"/>
    </xf>
    <xf numFmtId="0" fontId="9" fillId="0" borderId="0" xfId="0" applyFont="1" applyAlignment="1">
      <alignment horizontal="center" wrapText="1"/>
    </xf>
    <xf numFmtId="0" fontId="10" fillId="0" borderId="0" xfId="0" applyFont="1" applyAlignment="1">
      <alignment horizontal="center" wrapText="1"/>
    </xf>
    <xf numFmtId="1" fontId="9" fillId="0" borderId="20" xfId="0" applyNumberFormat="1" applyFont="1" applyFill="1" applyBorder="1" applyAlignment="1">
      <alignment/>
    </xf>
    <xf numFmtId="0" fontId="9" fillId="0" borderId="0" xfId="58" applyFont="1" applyFill="1" applyBorder="1" applyAlignment="1">
      <alignment horizontal="left" wrapText="1"/>
      <protection/>
    </xf>
    <xf numFmtId="0" fontId="9" fillId="0" borderId="0" xfId="58" applyFont="1" applyFill="1" applyBorder="1" applyAlignment="1">
      <alignment wrapText="1"/>
      <protection/>
    </xf>
    <xf numFmtId="3" fontId="10" fillId="24" borderId="31" xfId="0" applyNumberFormat="1" applyFont="1" applyFill="1" applyBorder="1" applyAlignment="1">
      <alignment/>
    </xf>
    <xf numFmtId="0" fontId="9" fillId="0" borderId="14" xfId="59" applyFont="1" applyFill="1" applyBorder="1" applyAlignment="1">
      <alignment horizontal="left" wrapText="1"/>
      <protection/>
    </xf>
    <xf numFmtId="3" fontId="30" fillId="0" borderId="0" xfId="0" applyNumberFormat="1" applyFont="1" applyFill="1" applyAlignment="1">
      <alignment horizontal="right"/>
    </xf>
    <xf numFmtId="0" fontId="10" fillId="0" borderId="0" xfId="0" applyFont="1" applyFill="1" applyBorder="1" applyAlignment="1" applyProtection="1">
      <alignment horizontal="right" wrapText="1"/>
      <protection/>
    </xf>
    <xf numFmtId="3" fontId="9" fillId="25" borderId="14" xfId="0" applyNumberFormat="1" applyFont="1" applyFill="1" applyBorder="1" applyAlignment="1">
      <alignment wrapText="1"/>
    </xf>
    <xf numFmtId="0" fontId="0" fillId="25" borderId="14" xfId="0" applyFill="1" applyBorder="1" applyAlignment="1">
      <alignment/>
    </xf>
    <xf numFmtId="3" fontId="47" fillId="0" borderId="14" xfId="0" applyNumberFormat="1" applyFont="1" applyFill="1" applyBorder="1" applyAlignment="1">
      <alignment horizontal="right"/>
    </xf>
    <xf numFmtId="3" fontId="47" fillId="0" borderId="14" xfId="0" applyNumberFormat="1" applyFont="1" applyFill="1" applyBorder="1" applyAlignment="1">
      <alignment/>
    </xf>
    <xf numFmtId="49" fontId="48" fillId="0" borderId="14" xfId="0" applyNumberFormat="1" applyFont="1" applyFill="1" applyBorder="1" applyAlignment="1">
      <alignment horizontal="left"/>
    </xf>
    <xf numFmtId="49" fontId="48" fillId="0" borderId="14" xfId="0" applyNumberFormat="1" applyFont="1" applyFill="1" applyBorder="1" applyAlignment="1">
      <alignment horizontal="right"/>
    </xf>
    <xf numFmtId="3" fontId="49" fillId="0" borderId="14" xfId="0" applyNumberFormat="1" applyFont="1" applyFill="1" applyBorder="1" applyAlignment="1">
      <alignment/>
    </xf>
    <xf numFmtId="0" fontId="48" fillId="0" borderId="14" xfId="0" applyFont="1" applyFill="1" applyBorder="1" applyAlignment="1">
      <alignment horizontal="right" wrapText="1"/>
    </xf>
    <xf numFmtId="49" fontId="48" fillId="0" borderId="14" xfId="0" applyNumberFormat="1" applyFont="1" applyBorder="1" applyAlignment="1">
      <alignment horizontal="right"/>
    </xf>
    <xf numFmtId="3" fontId="50" fillId="0" borderId="14" xfId="0" applyNumberFormat="1" applyFont="1" applyFill="1" applyBorder="1" applyAlignment="1">
      <alignment/>
    </xf>
    <xf numFmtId="3" fontId="59" fillId="0" borderId="14" xfId="0" applyNumberFormat="1" applyFont="1" applyFill="1" applyBorder="1" applyAlignment="1">
      <alignment/>
    </xf>
    <xf numFmtId="0" fontId="48" fillId="0" borderId="14" xfId="0" applyFont="1" applyBorder="1" applyAlignment="1">
      <alignment/>
    </xf>
    <xf numFmtId="3" fontId="47" fillId="25" borderId="14" xfId="0" applyNumberFormat="1" applyFont="1" applyFill="1" applyBorder="1" applyAlignment="1">
      <alignment/>
    </xf>
    <xf numFmtId="0" fontId="51" fillId="0" borderId="14" xfId="0" applyFont="1" applyFill="1" applyBorder="1" applyAlignment="1">
      <alignment horizontal="right"/>
    </xf>
    <xf numFmtId="49" fontId="51" fillId="0" borderId="14" xfId="0" applyNumberFormat="1" applyFont="1" applyFill="1" applyBorder="1" applyAlignment="1">
      <alignment/>
    </xf>
    <xf numFmtId="2" fontId="51" fillId="0" borderId="14" xfId="0" applyNumberFormat="1" applyFont="1" applyFill="1" applyBorder="1" applyAlignment="1">
      <alignment wrapText="1"/>
    </xf>
    <xf numFmtId="0" fontId="51" fillId="0" borderId="14" xfId="0" applyFont="1" applyBorder="1" applyAlignment="1">
      <alignment horizontal="right"/>
    </xf>
    <xf numFmtId="0" fontId="51" fillId="0" borderId="0" xfId="0" applyFont="1" applyAlignment="1">
      <alignment/>
    </xf>
    <xf numFmtId="0" fontId="60" fillId="0" borderId="0" xfId="0" applyFont="1" applyFill="1" applyAlignment="1">
      <alignment/>
    </xf>
    <xf numFmtId="0" fontId="9" fillId="24" borderId="14" xfId="0" applyFont="1" applyFill="1" applyBorder="1" applyAlignment="1">
      <alignment wrapText="1"/>
    </xf>
    <xf numFmtId="0" fontId="9" fillId="0" borderId="14" xfId="0" applyFont="1" applyBorder="1" applyAlignment="1">
      <alignment wrapText="1"/>
    </xf>
    <xf numFmtId="3" fontId="9" fillId="0" borderId="0" xfId="0" applyNumberFormat="1" applyFont="1" applyFill="1" applyAlignment="1">
      <alignment horizontal="right" wrapText="1"/>
    </xf>
    <xf numFmtId="0" fontId="9" fillId="0" borderId="14" xfId="0" applyFont="1" applyFill="1" applyBorder="1" applyAlignment="1">
      <alignment horizontal="right" wrapText="1"/>
    </xf>
    <xf numFmtId="0" fontId="9" fillId="0" borderId="14" xfId="58" applyFont="1" applyFill="1" applyBorder="1" applyAlignment="1">
      <alignment horizontal="right" wrapText="1"/>
      <protection/>
    </xf>
    <xf numFmtId="49" fontId="9" fillId="0" borderId="14" xfId="0" applyNumberFormat="1" applyFont="1" applyBorder="1" applyAlignment="1">
      <alignment horizontal="left"/>
    </xf>
    <xf numFmtId="0" fontId="9" fillId="0" borderId="14" xfId="0" applyFont="1" applyFill="1" applyBorder="1" applyAlignment="1">
      <alignment horizontal="left"/>
    </xf>
    <xf numFmtId="3" fontId="9" fillId="0" borderId="14" xfId="0" applyNumberFormat="1" applyFont="1" applyFill="1" applyBorder="1" applyAlignment="1">
      <alignment horizontal="right"/>
    </xf>
    <xf numFmtId="49" fontId="9" fillId="0" borderId="0" xfId="0" applyNumberFormat="1" applyFont="1" applyAlignment="1">
      <alignment/>
    </xf>
    <xf numFmtId="0" fontId="31" fillId="0" borderId="14" xfId="0" applyFont="1" applyBorder="1" applyAlignment="1">
      <alignment horizontal="center"/>
    </xf>
    <xf numFmtId="49" fontId="31" fillId="0" borderId="14" xfId="0" applyNumberFormat="1" applyFont="1" applyBorder="1" applyAlignment="1">
      <alignment horizontal="center" wrapText="1"/>
    </xf>
    <xf numFmtId="3" fontId="31" fillId="0" borderId="14" xfId="0" applyNumberFormat="1" applyFont="1" applyBorder="1" applyAlignment="1">
      <alignment horizontal="center"/>
    </xf>
    <xf numFmtId="49" fontId="31" fillId="0" borderId="14" xfId="0" applyNumberFormat="1" applyFont="1" applyBorder="1" applyAlignment="1">
      <alignment horizontal="center"/>
    </xf>
    <xf numFmtId="0" fontId="9" fillId="0" borderId="14" xfId="0" applyFont="1" applyBorder="1" applyAlignment="1">
      <alignment horizontal="left"/>
    </xf>
    <xf numFmtId="0" fontId="10" fillId="0" borderId="14" xfId="0" applyFont="1" applyBorder="1" applyAlignment="1">
      <alignment horizontal="left"/>
    </xf>
    <xf numFmtId="49" fontId="10" fillId="0" borderId="14" xfId="0" applyNumberFormat="1" applyFont="1" applyBorder="1" applyAlignment="1">
      <alignment horizontal="left"/>
    </xf>
    <xf numFmtId="0" fontId="10" fillId="0" borderId="14" xfId="0" applyFont="1" applyBorder="1" applyAlignment="1">
      <alignment wrapText="1"/>
    </xf>
    <xf numFmtId="3" fontId="10" fillId="4" borderId="14" xfId="0" applyNumberFormat="1" applyFont="1" applyFill="1" applyBorder="1" applyAlignment="1">
      <alignment horizontal="right"/>
    </xf>
    <xf numFmtId="0" fontId="9" fillId="0" borderId="14" xfId="0" applyFont="1" applyBorder="1" applyAlignment="1">
      <alignment/>
    </xf>
    <xf numFmtId="0" fontId="9" fillId="0" borderId="16" xfId="0" applyFont="1" applyBorder="1" applyAlignment="1">
      <alignment horizontal="right"/>
    </xf>
    <xf numFmtId="49" fontId="9" fillId="0" borderId="14" xfId="0" applyNumberFormat="1" applyFont="1" applyBorder="1" applyAlignment="1">
      <alignment horizontal="right"/>
    </xf>
    <xf numFmtId="0" fontId="9" fillId="0" borderId="16" xfId="0" applyFont="1" applyFill="1" applyBorder="1" applyAlignment="1">
      <alignment horizontal="right" wrapText="1"/>
    </xf>
    <xf numFmtId="3" fontId="10" fillId="4" borderId="14" xfId="0" applyNumberFormat="1" applyFont="1" applyFill="1" applyBorder="1" applyAlignment="1">
      <alignment/>
    </xf>
    <xf numFmtId="0" fontId="10" fillId="0" borderId="14" xfId="0" applyFont="1" applyBorder="1" applyAlignment="1">
      <alignment horizontal="right" wrapText="1"/>
    </xf>
    <xf numFmtId="49" fontId="10" fillId="0" borderId="14" xfId="0" applyNumberFormat="1" applyFont="1" applyFill="1" applyBorder="1" applyAlignment="1">
      <alignment horizontal="left"/>
    </xf>
    <xf numFmtId="3" fontId="10" fillId="26" borderId="14" xfId="0" applyNumberFormat="1" applyFont="1" applyFill="1" applyBorder="1" applyAlignment="1">
      <alignment/>
    </xf>
    <xf numFmtId="0" fontId="9" fillId="0" borderId="16" xfId="58" applyFont="1" applyFill="1" applyBorder="1" applyAlignment="1">
      <alignment horizontal="right" wrapText="1"/>
      <protection/>
    </xf>
    <xf numFmtId="0" fontId="10" fillId="0" borderId="16" xfId="0" applyFont="1" applyBorder="1" applyAlignment="1">
      <alignment wrapText="1"/>
    </xf>
    <xf numFmtId="0" fontId="9" fillId="0" borderId="14" xfId="0" applyFont="1" applyFill="1" applyBorder="1" applyAlignment="1">
      <alignment wrapText="1"/>
    </xf>
    <xf numFmtId="0" fontId="9" fillId="0" borderId="16" xfId="0" applyFont="1" applyBorder="1" applyAlignment="1">
      <alignment horizontal="right" wrapText="1"/>
    </xf>
    <xf numFmtId="0" fontId="9" fillId="0" borderId="21" xfId="0" applyFont="1" applyFill="1" applyBorder="1" applyAlignment="1">
      <alignment horizontal="left" vertical="top" wrapText="1"/>
    </xf>
    <xf numFmtId="0" fontId="10" fillId="0" borderId="14" xfId="0" applyFont="1" applyBorder="1" applyAlignment="1">
      <alignment horizontal="left" wrapText="1"/>
    </xf>
    <xf numFmtId="49" fontId="10" fillId="0" borderId="14" xfId="0" applyNumberFormat="1" applyFont="1" applyBorder="1" applyAlignment="1">
      <alignment/>
    </xf>
    <xf numFmtId="0" fontId="9" fillId="0" borderId="14" xfId="0" applyFont="1" applyBorder="1" applyAlignment="1">
      <alignment horizontal="justify" vertical="center"/>
    </xf>
    <xf numFmtId="49" fontId="9" fillId="0" borderId="14" xfId="0" applyNumberFormat="1" applyFont="1" applyBorder="1" applyAlignment="1">
      <alignment/>
    </xf>
    <xf numFmtId="0" fontId="9" fillId="0" borderId="14" xfId="0" applyFont="1" applyBorder="1" applyAlignment="1">
      <alignment horizontal="justify"/>
    </xf>
    <xf numFmtId="0" fontId="10" fillId="0" borderId="14" xfId="0" applyFont="1" applyFill="1" applyBorder="1" applyAlignment="1">
      <alignment horizontal="right" wrapText="1"/>
    </xf>
    <xf numFmtId="0" fontId="9" fillId="0" borderId="14" xfId="0" applyFont="1" applyBorder="1" applyAlignment="1">
      <alignment horizontal="right" wrapText="1"/>
    </xf>
    <xf numFmtId="3" fontId="9" fillId="25" borderId="14" xfId="0" applyNumberFormat="1" applyFont="1" applyFill="1" applyBorder="1" applyAlignment="1">
      <alignment/>
    </xf>
    <xf numFmtId="49" fontId="9" fillId="0" borderId="14" xfId="0" applyNumberFormat="1" applyFont="1" applyFill="1" applyBorder="1" applyAlignment="1">
      <alignment/>
    </xf>
    <xf numFmtId="0" fontId="9" fillId="25" borderId="14" xfId="0" applyFont="1" applyFill="1" applyBorder="1" applyAlignment="1">
      <alignment horizontal="right" wrapText="1"/>
    </xf>
    <xf numFmtId="49" fontId="9" fillId="25" borderId="14" xfId="0" applyNumberFormat="1" applyFont="1" applyFill="1" applyBorder="1" applyAlignment="1">
      <alignment/>
    </xf>
    <xf numFmtId="0" fontId="9" fillId="25" borderId="14" xfId="0" applyFont="1" applyFill="1" applyBorder="1" applyAlignment="1">
      <alignment/>
    </xf>
    <xf numFmtId="0" fontId="9" fillId="25" borderId="14" xfId="0" applyFont="1" applyFill="1" applyBorder="1" applyAlignment="1">
      <alignment wrapText="1"/>
    </xf>
    <xf numFmtId="0" fontId="9" fillId="25" borderId="0" xfId="0" applyFont="1" applyFill="1" applyAlignment="1">
      <alignment/>
    </xf>
    <xf numFmtId="0" fontId="9" fillId="0" borderId="20" xfId="0" applyFont="1" applyBorder="1" applyAlignment="1">
      <alignment/>
    </xf>
    <xf numFmtId="0" fontId="9" fillId="0" borderId="16" xfId="0" applyFont="1" applyBorder="1" applyAlignment="1">
      <alignment horizontal="justify"/>
    </xf>
    <xf numFmtId="49" fontId="9" fillId="25" borderId="14" xfId="0" applyNumberFormat="1" applyFont="1" applyFill="1" applyBorder="1" applyAlignment="1">
      <alignment horizontal="left"/>
    </xf>
    <xf numFmtId="0" fontId="10" fillId="0" borderId="14" xfId="0" applyFont="1" applyBorder="1" applyAlignment="1">
      <alignment/>
    </xf>
    <xf numFmtId="0" fontId="9" fillId="0" borderId="16" xfId="0" applyNumberFormat="1" applyFont="1" applyFill="1" applyBorder="1" applyAlignment="1">
      <alignment horizontal="left" wrapText="1"/>
    </xf>
    <xf numFmtId="0" fontId="10" fillId="0" borderId="14" xfId="0" applyFont="1" applyBorder="1" applyAlignment="1">
      <alignment horizontal="right"/>
    </xf>
    <xf numFmtId="3" fontId="10" fillId="0" borderId="14" xfId="0" applyNumberFormat="1" applyFont="1" applyBorder="1" applyAlignment="1">
      <alignment/>
    </xf>
    <xf numFmtId="0" fontId="10" fillId="0" borderId="14" xfId="0" applyFont="1" applyFill="1" applyBorder="1" applyAlignment="1">
      <alignment horizontal="right"/>
    </xf>
    <xf numFmtId="0" fontId="9" fillId="0" borderId="14" xfId="0" applyFont="1" applyBorder="1" applyAlignment="1">
      <alignment horizontal="right"/>
    </xf>
    <xf numFmtId="0" fontId="35" fillId="0" borderId="0" xfId="0" applyFont="1" applyAlignment="1">
      <alignment/>
    </xf>
    <xf numFmtId="3" fontId="10" fillId="0" borderId="14" xfId="0" applyNumberFormat="1" applyFont="1" applyBorder="1" applyAlignment="1">
      <alignment horizontal="right"/>
    </xf>
    <xf numFmtId="0" fontId="9" fillId="0" borderId="14" xfId="0" applyFont="1" applyFill="1" applyBorder="1" applyAlignment="1">
      <alignment horizontal="right"/>
    </xf>
    <xf numFmtId="0" fontId="9" fillId="0" borderId="0" xfId="0" applyFont="1" applyAlignment="1">
      <alignment horizontal="right"/>
    </xf>
    <xf numFmtId="0" fontId="9" fillId="0" borderId="0" xfId="0" applyFont="1" applyFill="1" applyAlignment="1">
      <alignment horizontal="right"/>
    </xf>
    <xf numFmtId="49" fontId="9" fillId="0" borderId="19" xfId="0" applyNumberFormat="1" applyFont="1" applyFill="1" applyBorder="1" applyAlignment="1">
      <alignment horizontal="left"/>
    </xf>
    <xf numFmtId="2" fontId="9" fillId="0" borderId="0" xfId="0" applyNumberFormat="1" applyFont="1" applyFill="1" applyAlignment="1">
      <alignment horizontal="right"/>
    </xf>
    <xf numFmtId="202" fontId="9" fillId="0" borderId="0" xfId="0" applyNumberFormat="1" applyFont="1" applyAlignment="1">
      <alignment horizontal="left"/>
    </xf>
    <xf numFmtId="0" fontId="9" fillId="0" borderId="14" xfId="0" applyFont="1" applyFill="1" applyBorder="1" applyAlignment="1">
      <alignment horizontal="right" wrapText="1"/>
    </xf>
    <xf numFmtId="3" fontId="9" fillId="0" borderId="14" xfId="0" applyNumberFormat="1" applyFont="1" applyFill="1" applyBorder="1" applyAlignment="1">
      <alignment/>
    </xf>
    <xf numFmtId="0" fontId="10" fillId="0" borderId="0" xfId="0" applyFont="1" applyAlignment="1">
      <alignment/>
    </xf>
    <xf numFmtId="0" fontId="10" fillId="0" borderId="0" xfId="0" applyFont="1" applyAlignment="1">
      <alignment wrapText="1"/>
    </xf>
    <xf numFmtId="3" fontId="35" fillId="0" borderId="0" xfId="0" applyNumberFormat="1" applyFont="1" applyAlignment="1">
      <alignment/>
    </xf>
    <xf numFmtId="0" fontId="9" fillId="25" borderId="16" xfId="0" applyFont="1" applyFill="1" applyBorder="1" applyAlignment="1">
      <alignment horizontal="right" wrapText="1"/>
    </xf>
    <xf numFmtId="49" fontId="9" fillId="0" borderId="14" xfId="0" applyNumberFormat="1" applyFont="1" applyFill="1" applyBorder="1" applyAlignment="1">
      <alignment horizontal="right" wrapText="1"/>
    </xf>
    <xf numFmtId="0" fontId="58" fillId="0" borderId="0" xfId="0" applyFont="1" applyAlignment="1">
      <alignment/>
    </xf>
    <xf numFmtId="0" fontId="9" fillId="0" borderId="0" xfId="0" applyFont="1" applyAlignment="1">
      <alignment/>
    </xf>
    <xf numFmtId="0" fontId="9" fillId="0" borderId="18" xfId="58" applyFont="1" applyFill="1" applyBorder="1" applyAlignment="1">
      <alignment horizontal="right" wrapText="1"/>
      <protection/>
    </xf>
    <xf numFmtId="0" fontId="10" fillId="0" borderId="0" xfId="0" applyFont="1" applyFill="1" applyBorder="1" applyAlignment="1">
      <alignment horizontal="left" wrapText="1"/>
    </xf>
    <xf numFmtId="0" fontId="9" fillId="0" borderId="0" xfId="62" applyFont="1" applyFill="1" applyAlignment="1">
      <alignment horizontal="left"/>
      <protection/>
    </xf>
    <xf numFmtId="0" fontId="9" fillId="0" borderId="13" xfId="61" applyFont="1" applyFill="1" applyBorder="1" applyAlignment="1">
      <alignment vertical="center" wrapText="1"/>
      <protection/>
    </xf>
    <xf numFmtId="0" fontId="9" fillId="0" borderId="23" xfId="61" applyFont="1" applyFill="1" applyBorder="1" applyAlignment="1">
      <alignment vertical="center" wrapText="1"/>
      <protection/>
    </xf>
    <xf numFmtId="0" fontId="10" fillId="0" borderId="49" xfId="57" applyFont="1" applyFill="1" applyBorder="1" applyAlignment="1" applyProtection="1">
      <alignment horizontal="center" vertical="center" wrapText="1"/>
      <protection/>
    </xf>
    <xf numFmtId="3" fontId="9" fillId="25" borderId="28" xfId="0" applyNumberFormat="1" applyFont="1" applyFill="1" applyBorder="1" applyAlignment="1">
      <alignment/>
    </xf>
    <xf numFmtId="0" fontId="10" fillId="0" borderId="30" xfId="0" applyFont="1" applyFill="1" applyBorder="1" applyAlignment="1">
      <alignment wrapText="1"/>
    </xf>
    <xf numFmtId="3" fontId="9" fillId="25" borderId="18" xfId="0" applyNumberFormat="1" applyFont="1" applyFill="1" applyBorder="1" applyAlignment="1" applyProtection="1">
      <alignment/>
      <protection/>
    </xf>
    <xf numFmtId="3" fontId="9" fillId="25" borderId="14" xfId="0" applyNumberFormat="1" applyFont="1" applyFill="1" applyBorder="1" applyAlignment="1" applyProtection="1">
      <alignment horizontal="center"/>
      <protection/>
    </xf>
    <xf numFmtId="0" fontId="9" fillId="0" borderId="0" xfId="62" applyFont="1" applyFill="1" applyAlignment="1">
      <alignment horizontal="right"/>
      <protection/>
    </xf>
    <xf numFmtId="3" fontId="9" fillId="25" borderId="20" xfId="0" applyNumberFormat="1" applyFont="1" applyFill="1" applyBorder="1" applyAlignment="1">
      <alignment/>
    </xf>
    <xf numFmtId="1" fontId="10" fillId="0" borderId="14" xfId="0" applyNumberFormat="1" applyFont="1" applyFill="1" applyBorder="1" applyAlignment="1">
      <alignment/>
    </xf>
    <xf numFmtId="0" fontId="10" fillId="0" borderId="14" xfId="0" applyFont="1" applyFill="1" applyBorder="1" applyAlignment="1">
      <alignment/>
    </xf>
    <xf numFmtId="0" fontId="10" fillId="0" borderId="33" xfId="0" applyFont="1" applyFill="1" applyBorder="1" applyAlignment="1">
      <alignment/>
    </xf>
    <xf numFmtId="1" fontId="10" fillId="0" borderId="31" xfId="0" applyNumberFormat="1" applyFont="1" applyFill="1" applyBorder="1" applyAlignment="1">
      <alignment/>
    </xf>
    <xf numFmtId="200" fontId="10" fillId="0" borderId="31" xfId="0" applyNumberFormat="1" applyFont="1" applyFill="1" applyBorder="1" applyAlignment="1">
      <alignment/>
    </xf>
    <xf numFmtId="0" fontId="10" fillId="0" borderId="31" xfId="0" applyFont="1" applyFill="1" applyBorder="1" applyAlignment="1">
      <alignment/>
    </xf>
    <xf numFmtId="3" fontId="58" fillId="24" borderId="20" xfId="0" applyNumberFormat="1" applyFont="1" applyFill="1" applyBorder="1" applyAlignment="1">
      <alignment/>
    </xf>
    <xf numFmtId="0" fontId="9" fillId="0" borderId="20" xfId="58" applyFont="1" applyFill="1" applyBorder="1" applyAlignment="1">
      <alignment horizontal="right" wrapText="1"/>
      <protection/>
    </xf>
    <xf numFmtId="3" fontId="10" fillId="0" borderId="57" xfId="0" applyNumberFormat="1" applyFont="1" applyFill="1" applyBorder="1" applyAlignment="1">
      <alignment/>
    </xf>
    <xf numFmtId="0" fontId="9" fillId="0" borderId="0" xfId="57" applyFont="1" applyFill="1" applyBorder="1" applyAlignment="1">
      <alignment horizontal="left" wrapText="1"/>
      <protection/>
    </xf>
    <xf numFmtId="3" fontId="10" fillId="0" borderId="27" xfId="0" applyNumberFormat="1" applyFont="1" applyFill="1" applyBorder="1" applyAlignment="1">
      <alignment/>
    </xf>
    <xf numFmtId="3" fontId="10" fillId="0" borderId="12" xfId="0" applyNumberFormat="1" applyFont="1" applyFill="1" applyBorder="1" applyAlignment="1">
      <alignment/>
    </xf>
    <xf numFmtId="0" fontId="9" fillId="0" borderId="18" xfId="0" applyFont="1" applyFill="1" applyBorder="1" applyAlignment="1">
      <alignment horizontal="right" wrapText="1"/>
    </xf>
    <xf numFmtId="1" fontId="1" fillId="0" borderId="59" xfId="0" applyNumberFormat="1" applyFont="1" applyBorder="1" applyAlignment="1">
      <alignment/>
    </xf>
    <xf numFmtId="49" fontId="48" fillId="0" borderId="14" xfId="0" applyNumberFormat="1" applyFont="1" applyBorder="1" applyAlignment="1">
      <alignment horizontal="left"/>
    </xf>
    <xf numFmtId="0" fontId="51" fillId="0" borderId="0" xfId="0" applyFont="1" applyFill="1" applyAlignment="1">
      <alignment/>
    </xf>
    <xf numFmtId="3" fontId="61" fillId="0" borderId="14" xfId="0" applyNumberFormat="1" applyFont="1" applyFill="1" applyBorder="1" applyAlignment="1">
      <alignment/>
    </xf>
    <xf numFmtId="3" fontId="62" fillId="0" borderId="14" xfId="0" applyNumberFormat="1" applyFont="1" applyFill="1" applyBorder="1" applyAlignment="1">
      <alignment/>
    </xf>
    <xf numFmtId="49" fontId="10" fillId="0" borderId="26" xfId="0" applyNumberFormat="1" applyFont="1" applyFill="1" applyBorder="1" applyAlignment="1">
      <alignment horizontal="right"/>
    </xf>
    <xf numFmtId="3" fontId="9" fillId="24" borderId="32" xfId="0" applyNumberFormat="1" applyFont="1" applyFill="1" applyBorder="1" applyAlignment="1">
      <alignment/>
    </xf>
    <xf numFmtId="3" fontId="10" fillId="24" borderId="32" xfId="0" applyNumberFormat="1" applyFont="1" applyFill="1" applyBorder="1" applyAlignment="1">
      <alignment/>
    </xf>
    <xf numFmtId="3" fontId="10" fillId="24" borderId="41" xfId="0" applyNumberFormat="1" applyFont="1" applyFill="1" applyBorder="1" applyAlignment="1">
      <alignment/>
    </xf>
    <xf numFmtId="0" fontId="9" fillId="0" borderId="16" xfId="0" applyFont="1" applyFill="1" applyBorder="1" applyAlignment="1">
      <alignment horizontal="left" wrapText="1"/>
    </xf>
    <xf numFmtId="3" fontId="0" fillId="0" borderId="18" xfId="0" applyNumberFormat="1" applyFont="1" applyBorder="1" applyAlignment="1">
      <alignment/>
    </xf>
    <xf numFmtId="49" fontId="9" fillId="25" borderId="14" xfId="0" applyNumberFormat="1" applyFont="1" applyFill="1" applyBorder="1" applyAlignment="1">
      <alignment horizontal="right"/>
    </xf>
    <xf numFmtId="0" fontId="31" fillId="0" borderId="14" xfId="0" applyFont="1" applyFill="1" applyBorder="1" applyAlignment="1">
      <alignment horizontal="center" vertical="center" wrapText="1"/>
    </xf>
    <xf numFmtId="3" fontId="0" fillId="0" borderId="0" xfId="0" applyNumberFormat="1" applyBorder="1" applyAlignment="1">
      <alignment/>
    </xf>
    <xf numFmtId="3" fontId="1" fillId="0" borderId="0" xfId="0" applyNumberFormat="1" applyFont="1" applyAlignment="1">
      <alignment/>
    </xf>
    <xf numFmtId="49" fontId="9" fillId="0" borderId="0" xfId="0" applyNumberFormat="1" applyFont="1" applyFill="1" applyBorder="1" applyAlignment="1">
      <alignment horizontal="left"/>
    </xf>
    <xf numFmtId="49" fontId="9" fillId="0" borderId="0" xfId="0" applyNumberFormat="1" applyFont="1" applyBorder="1" applyAlignment="1">
      <alignment horizontal="left"/>
    </xf>
    <xf numFmtId="0" fontId="9" fillId="0" borderId="25" xfId="0" applyFont="1" applyFill="1" applyBorder="1" applyAlignment="1">
      <alignment wrapText="1"/>
    </xf>
    <xf numFmtId="3" fontId="9" fillId="0" borderId="60" xfId="0" applyNumberFormat="1" applyFont="1" applyFill="1" applyBorder="1" applyAlignment="1">
      <alignment/>
    </xf>
    <xf numFmtId="3" fontId="10" fillId="0" borderId="61" xfId="0" applyNumberFormat="1" applyFont="1" applyFill="1" applyBorder="1" applyAlignment="1">
      <alignment/>
    </xf>
    <xf numFmtId="3" fontId="63" fillId="0" borderId="14" xfId="0" applyNumberFormat="1" applyFont="1" applyFill="1" applyBorder="1" applyAlignment="1">
      <alignment/>
    </xf>
    <xf numFmtId="3" fontId="1" fillId="0" borderId="14" xfId="0" applyNumberFormat="1" applyFont="1" applyFill="1" applyBorder="1" applyAlignment="1">
      <alignment/>
    </xf>
    <xf numFmtId="3" fontId="31" fillId="0" borderId="0" xfId="0" applyNumberFormat="1" applyFont="1" applyBorder="1" applyAlignment="1">
      <alignment/>
    </xf>
    <xf numFmtId="0" fontId="9" fillId="25" borderId="16" xfId="58" applyFont="1" applyFill="1" applyBorder="1" applyAlignment="1">
      <alignment horizontal="right" wrapText="1"/>
      <protection/>
    </xf>
    <xf numFmtId="0" fontId="9" fillId="25" borderId="30" xfId="0" applyFont="1" applyFill="1" applyBorder="1" applyAlignment="1">
      <alignment horizontal="left" wrapText="1"/>
    </xf>
    <xf numFmtId="0" fontId="58" fillId="0" borderId="0" xfId="57" applyFont="1" applyFill="1" applyBorder="1" applyAlignment="1">
      <alignment horizontal="left" wrapText="1"/>
      <protection/>
    </xf>
    <xf numFmtId="3" fontId="64" fillId="0" borderId="0" xfId="0" applyNumberFormat="1" applyFont="1" applyFill="1" applyBorder="1" applyAlignment="1">
      <alignment/>
    </xf>
    <xf numFmtId="3" fontId="49" fillId="0" borderId="14" xfId="0" applyNumberFormat="1" applyFont="1" applyFill="1" applyBorder="1" applyAlignment="1">
      <alignment/>
    </xf>
    <xf numFmtId="0" fontId="9" fillId="25" borderId="18" xfId="0" applyFont="1" applyFill="1" applyBorder="1" applyAlignment="1">
      <alignment horizontal="right" wrapText="1"/>
    </xf>
    <xf numFmtId="0" fontId="9" fillId="0" borderId="22" xfId="0" applyFont="1" applyFill="1" applyBorder="1" applyAlignment="1">
      <alignment horizontal="right" wrapText="1"/>
    </xf>
    <xf numFmtId="49" fontId="2" fillId="0" borderId="0" xfId="0" applyNumberFormat="1" applyFont="1" applyAlignment="1">
      <alignment horizontal="right"/>
    </xf>
    <xf numFmtId="3" fontId="10" fillId="24" borderId="33" xfId="0" applyNumberFormat="1" applyFont="1" applyFill="1" applyBorder="1" applyAlignment="1">
      <alignment/>
    </xf>
    <xf numFmtId="0" fontId="42" fillId="0" borderId="14" xfId="0" applyFont="1" applyFill="1" applyBorder="1" applyAlignment="1">
      <alignment horizontal="center" wrapText="1"/>
    </xf>
    <xf numFmtId="0" fontId="9" fillId="0" borderId="0" xfId="0" applyFont="1" applyFill="1" applyBorder="1" applyAlignment="1">
      <alignment/>
    </xf>
    <xf numFmtId="0" fontId="9" fillId="0" borderId="0" xfId="0" applyFont="1" applyFill="1" applyBorder="1" applyAlignment="1">
      <alignment horizontal="left"/>
    </xf>
    <xf numFmtId="0" fontId="42" fillId="0" borderId="18" xfId="0" applyFont="1" applyFill="1" applyBorder="1" applyAlignment="1">
      <alignment wrapText="1"/>
    </xf>
    <xf numFmtId="49" fontId="9" fillId="0" borderId="0" xfId="0" applyNumberFormat="1" applyFont="1" applyBorder="1" applyAlignment="1">
      <alignment/>
    </xf>
    <xf numFmtId="3" fontId="4" fillId="0" borderId="18" xfId="0" applyNumberFormat="1" applyFont="1" applyFill="1" applyBorder="1" applyAlignment="1">
      <alignment/>
    </xf>
    <xf numFmtId="3" fontId="2" fillId="0" borderId="41" xfId="0" applyNumberFormat="1" applyFont="1" applyFill="1" applyBorder="1" applyAlignment="1">
      <alignment/>
    </xf>
    <xf numFmtId="3" fontId="9" fillId="0" borderId="41" xfId="0" applyNumberFormat="1" applyFont="1" applyFill="1" applyBorder="1" applyAlignment="1">
      <alignment/>
    </xf>
    <xf numFmtId="3" fontId="4" fillId="0" borderId="14" xfId="0" applyNumberFormat="1" applyFont="1" applyFill="1" applyBorder="1" applyAlignment="1">
      <alignment/>
    </xf>
    <xf numFmtId="3" fontId="2" fillId="0" borderId="33" xfId="0" applyNumberFormat="1" applyFont="1" applyFill="1" applyBorder="1" applyAlignment="1">
      <alignment/>
    </xf>
    <xf numFmtId="3" fontId="9" fillId="0" borderId="33" xfId="0" applyNumberFormat="1" applyFont="1" applyFill="1" applyBorder="1" applyAlignment="1">
      <alignment/>
    </xf>
    <xf numFmtId="3" fontId="9" fillId="25" borderId="33" xfId="0" applyNumberFormat="1" applyFont="1" applyFill="1" applyBorder="1" applyAlignment="1">
      <alignment/>
    </xf>
    <xf numFmtId="3" fontId="9" fillId="0" borderId="17" xfId="0" applyNumberFormat="1" applyFont="1" applyFill="1" applyBorder="1" applyAlignment="1">
      <alignment/>
    </xf>
    <xf numFmtId="3" fontId="10" fillId="0" borderId="38" xfId="0" applyNumberFormat="1" applyFont="1" applyFill="1" applyBorder="1" applyAlignment="1">
      <alignment/>
    </xf>
    <xf numFmtId="3" fontId="9" fillId="25" borderId="21" xfId="0" applyNumberFormat="1" applyFont="1" applyFill="1" applyBorder="1" applyAlignment="1">
      <alignment/>
    </xf>
    <xf numFmtId="0" fontId="9" fillId="0" borderId="18" xfId="0" applyFont="1" applyBorder="1" applyAlignment="1">
      <alignment wrapText="1"/>
    </xf>
    <xf numFmtId="3" fontId="10" fillId="25" borderId="14" xfId="0" applyNumberFormat="1" applyFont="1" applyFill="1" applyBorder="1" applyAlignment="1">
      <alignment/>
    </xf>
    <xf numFmtId="0" fontId="9" fillId="0" borderId="0" xfId="0" applyFont="1" applyFill="1" applyBorder="1" applyAlignment="1">
      <alignment horizontal="left" wrapText="1"/>
    </xf>
    <xf numFmtId="0" fontId="1" fillId="0" borderId="18" xfId="0" applyFont="1" applyBorder="1" applyAlignment="1">
      <alignment/>
    </xf>
    <xf numFmtId="0" fontId="0" fillId="0" borderId="14" xfId="0" applyFont="1" applyBorder="1" applyAlignment="1">
      <alignment wrapText="1"/>
    </xf>
    <xf numFmtId="3" fontId="47" fillId="0" borderId="14" xfId="0" applyNumberFormat="1" applyFont="1" applyFill="1" applyBorder="1" applyAlignment="1">
      <alignment/>
    </xf>
    <xf numFmtId="3" fontId="59" fillId="0" borderId="14" xfId="0" applyNumberFormat="1" applyFont="1" applyFill="1" applyBorder="1" applyAlignment="1">
      <alignment/>
    </xf>
    <xf numFmtId="3" fontId="9" fillId="0" borderId="14" xfId="0" applyNumberFormat="1" applyFont="1" applyFill="1" applyBorder="1" applyAlignment="1">
      <alignment horizontal="right"/>
    </xf>
    <xf numFmtId="0" fontId="9" fillId="24" borderId="18" xfId="0" applyFont="1" applyFill="1" applyBorder="1" applyAlignment="1">
      <alignment wrapText="1"/>
    </xf>
    <xf numFmtId="49" fontId="9" fillId="0" borderId="14" xfId="0" applyNumberFormat="1" applyFont="1" applyBorder="1" applyAlignment="1">
      <alignment horizontal="left"/>
    </xf>
    <xf numFmtId="0" fontId="9" fillId="0" borderId="14" xfId="0" applyFont="1" applyBorder="1" applyAlignment="1">
      <alignment horizontal="right" wrapText="1"/>
    </xf>
    <xf numFmtId="49" fontId="9" fillId="0" borderId="14" xfId="0" applyNumberFormat="1" applyFont="1" applyBorder="1" applyAlignment="1">
      <alignment horizontal="right"/>
    </xf>
    <xf numFmtId="0" fontId="9" fillId="0" borderId="14" xfId="0" applyFont="1" applyBorder="1" applyAlignment="1">
      <alignment wrapText="1"/>
    </xf>
    <xf numFmtId="3" fontId="47" fillId="25" borderId="14" xfId="0" applyNumberFormat="1" applyFont="1" applyFill="1" applyBorder="1" applyAlignment="1">
      <alignment/>
    </xf>
    <xf numFmtId="49" fontId="9" fillId="0" borderId="21" xfId="0" applyNumberFormat="1" applyFont="1" applyFill="1" applyBorder="1" applyAlignment="1">
      <alignment horizontal="right"/>
    </xf>
    <xf numFmtId="0" fontId="48" fillId="0" borderId="14" xfId="0" applyFont="1" applyBorder="1" applyAlignment="1">
      <alignment horizontal="right" wrapText="1"/>
    </xf>
    <xf numFmtId="49" fontId="48" fillId="0" borderId="14" xfId="0" applyNumberFormat="1" applyFont="1" applyBorder="1" applyAlignment="1">
      <alignment horizontal="right"/>
    </xf>
    <xf numFmtId="3" fontId="48" fillId="0" borderId="14" xfId="0" applyNumberFormat="1" applyFont="1" applyFill="1" applyBorder="1" applyAlignment="1">
      <alignment/>
    </xf>
    <xf numFmtId="3" fontId="52" fillId="0" borderId="14" xfId="0" applyNumberFormat="1" applyFont="1" applyFill="1" applyBorder="1" applyAlignment="1">
      <alignment/>
    </xf>
    <xf numFmtId="0" fontId="47" fillId="0" borderId="14" xfId="0" applyFont="1" applyFill="1" applyBorder="1" applyAlignment="1">
      <alignment horizontal="left" wrapText="1"/>
    </xf>
    <xf numFmtId="49" fontId="9" fillId="0" borderId="14" xfId="0" applyNumberFormat="1" applyFont="1" applyFill="1" applyBorder="1" applyAlignment="1">
      <alignment horizontal="left" wrapText="1"/>
    </xf>
    <xf numFmtId="0" fontId="10" fillId="0" borderId="14" xfId="0" applyFont="1" applyBorder="1" applyAlignment="1">
      <alignment wrapText="1"/>
    </xf>
    <xf numFmtId="0" fontId="48" fillId="0" borderId="14" xfId="0" applyFont="1" applyBorder="1" applyAlignment="1">
      <alignment/>
    </xf>
    <xf numFmtId="49" fontId="9" fillId="25" borderId="14" xfId="58" applyNumberFormat="1" applyFont="1" applyFill="1" applyBorder="1" applyAlignment="1">
      <alignment horizontal="right" wrapText="1"/>
      <protection/>
    </xf>
    <xf numFmtId="0" fontId="48" fillId="0" borderId="14" xfId="0" applyFont="1" applyFill="1" applyBorder="1" applyAlignment="1">
      <alignment wrapText="1"/>
    </xf>
    <xf numFmtId="0" fontId="9" fillId="0" borderId="21" xfId="58" applyFont="1" applyFill="1" applyBorder="1" applyAlignment="1">
      <alignment horizontal="right" wrapText="1"/>
      <protection/>
    </xf>
    <xf numFmtId="0" fontId="9" fillId="0" borderId="18" xfId="0" applyFont="1" applyBorder="1" applyAlignment="1">
      <alignment horizontal="justify"/>
    </xf>
    <xf numFmtId="0" fontId="9" fillId="0" borderId="14" xfId="58" applyFont="1" applyFill="1" applyBorder="1" applyAlignment="1">
      <alignment horizontal="right" wrapText="1"/>
      <protection/>
    </xf>
    <xf numFmtId="49" fontId="9" fillId="0" borderId="14" xfId="0" applyNumberFormat="1" applyFont="1" applyFill="1" applyBorder="1" applyAlignment="1">
      <alignment horizontal="left"/>
    </xf>
    <xf numFmtId="0" fontId="9" fillId="0" borderId="22" xfId="0" applyFont="1" applyFill="1" applyBorder="1" applyAlignment="1">
      <alignment horizontal="right" wrapText="1"/>
    </xf>
    <xf numFmtId="0" fontId="9" fillId="0" borderId="14" xfId="59" applyFont="1" applyFill="1" applyBorder="1" applyAlignment="1">
      <alignment horizontal="right" wrapText="1"/>
      <protection/>
    </xf>
    <xf numFmtId="0" fontId="48" fillId="0" borderId="14" xfId="0" applyFont="1" applyBorder="1" applyAlignment="1">
      <alignment horizontal="justify" vertical="center"/>
    </xf>
    <xf numFmtId="0" fontId="34" fillId="0" borderId="14" xfId="0" applyFont="1" applyBorder="1" applyAlignment="1">
      <alignment wrapText="1"/>
    </xf>
    <xf numFmtId="0" fontId="9" fillId="0" borderId="30" xfId="0" applyFont="1" applyFill="1" applyBorder="1" applyAlignment="1">
      <alignment horizontal="right" wrapText="1"/>
    </xf>
    <xf numFmtId="0" fontId="9" fillId="0" borderId="22" xfId="58" applyFont="1" applyFill="1" applyBorder="1" applyAlignment="1">
      <alignment horizontal="right" wrapText="1"/>
      <protection/>
    </xf>
    <xf numFmtId="0" fontId="9" fillId="0" borderId="14" xfId="58" applyFont="1" applyFill="1" applyBorder="1" applyAlignment="1">
      <alignment horizontal="right" vertical="center" wrapText="1"/>
      <protection/>
    </xf>
    <xf numFmtId="0" fontId="30" fillId="0" borderId="14" xfId="0" applyFont="1" applyBorder="1" applyAlignment="1">
      <alignment horizontal="left" wrapText="1"/>
    </xf>
    <xf numFmtId="0" fontId="9" fillId="0" borderId="42" xfId="58" applyFont="1" applyFill="1" applyBorder="1" applyAlignment="1">
      <alignment horizontal="right" wrapText="1"/>
      <protection/>
    </xf>
    <xf numFmtId="0" fontId="48" fillId="0" borderId="14" xfId="0" applyFont="1" applyFill="1" applyBorder="1" applyAlignment="1">
      <alignment wrapText="1"/>
    </xf>
    <xf numFmtId="0" fontId="9" fillId="0" borderId="36" xfId="58" applyFont="1" applyFill="1" applyBorder="1" applyAlignment="1">
      <alignment horizontal="left" wrapText="1"/>
      <protection/>
    </xf>
    <xf numFmtId="3" fontId="9" fillId="24" borderId="57" xfId="0" applyNumberFormat="1" applyFont="1" applyFill="1" applyBorder="1" applyAlignment="1">
      <alignment/>
    </xf>
    <xf numFmtId="3" fontId="9" fillId="0" borderId="57" xfId="0" applyNumberFormat="1" applyFont="1" applyFill="1" applyBorder="1" applyAlignment="1">
      <alignment/>
    </xf>
    <xf numFmtId="3" fontId="9" fillId="25" borderId="14" xfId="0" applyNumberFormat="1" applyFont="1" applyFill="1" applyBorder="1" applyAlignment="1">
      <alignment horizontal="right"/>
    </xf>
    <xf numFmtId="3" fontId="9" fillId="0" borderId="14" xfId="0" applyNumberFormat="1" applyFont="1" applyFill="1" applyBorder="1" applyAlignment="1">
      <alignment horizontal="right" vertical="center" wrapText="1"/>
    </xf>
    <xf numFmtId="49" fontId="30" fillId="0" borderId="0" xfId="0" applyNumberFormat="1" applyFont="1" applyAlignment="1">
      <alignment horizontal="right"/>
    </xf>
    <xf numFmtId="0" fontId="9" fillId="0" borderId="14" xfId="0" applyFont="1" applyFill="1" applyBorder="1" applyAlignment="1">
      <alignment horizontal="justify"/>
    </xf>
    <xf numFmtId="3" fontId="9" fillId="0" borderId="18" xfId="0" applyNumberFormat="1" applyFont="1" applyFill="1" applyBorder="1" applyAlignment="1">
      <alignment wrapText="1"/>
    </xf>
    <xf numFmtId="0" fontId="9" fillId="0" borderId="0" xfId="59" applyFont="1" applyFill="1" applyBorder="1" applyAlignment="1">
      <alignment horizontal="left" wrapText="1"/>
      <protection/>
    </xf>
    <xf numFmtId="0" fontId="9" fillId="0" borderId="0" xfId="58" applyFont="1" applyFill="1" applyBorder="1" applyAlignment="1">
      <alignment horizontal="left" wrapText="1"/>
      <protection/>
    </xf>
    <xf numFmtId="0" fontId="9" fillId="0" borderId="0" xfId="0" applyFont="1" applyBorder="1" applyAlignment="1">
      <alignment horizontal="left" wrapText="1"/>
    </xf>
    <xf numFmtId="0" fontId="9" fillId="0" borderId="30" xfId="58" applyFont="1" applyFill="1" applyBorder="1" applyAlignment="1">
      <alignment horizontal="right" wrapText="1"/>
      <protection/>
    </xf>
    <xf numFmtId="0" fontId="42" fillId="0" borderId="14" xfId="59" applyFont="1" applyFill="1" applyBorder="1" applyAlignment="1">
      <alignment horizontal="left" wrapText="1"/>
      <protection/>
    </xf>
    <xf numFmtId="3" fontId="9" fillId="25" borderId="18" xfId="0" applyNumberFormat="1" applyFont="1" applyFill="1" applyBorder="1" applyAlignment="1">
      <alignment horizontal="left" wrapText="1"/>
    </xf>
    <xf numFmtId="3" fontId="58" fillId="25" borderId="18" xfId="0" applyNumberFormat="1" applyFont="1" applyFill="1" applyBorder="1" applyAlignment="1">
      <alignment horizontal="left" wrapText="1"/>
    </xf>
    <xf numFmtId="3" fontId="30" fillId="25" borderId="14" xfId="0" applyNumberFormat="1" applyFont="1" applyFill="1" applyBorder="1" applyAlignment="1">
      <alignment/>
    </xf>
    <xf numFmtId="3" fontId="9" fillId="25" borderId="14" xfId="0" applyNumberFormat="1" applyFont="1" applyFill="1" applyBorder="1" applyAlignment="1">
      <alignment/>
    </xf>
    <xf numFmtId="0" fontId="9" fillId="25" borderId="14" xfId="0" applyFont="1" applyFill="1" applyBorder="1" applyAlignment="1">
      <alignment wrapText="1"/>
    </xf>
    <xf numFmtId="0" fontId="9" fillId="25" borderId="14" xfId="0" applyFont="1" applyFill="1" applyBorder="1" applyAlignment="1">
      <alignment horizontal="left"/>
    </xf>
    <xf numFmtId="0" fontId="9" fillId="25" borderId="18" xfId="0" applyFont="1" applyFill="1" applyBorder="1" applyAlignment="1">
      <alignment wrapText="1"/>
    </xf>
    <xf numFmtId="0" fontId="30" fillId="0" borderId="14" xfId="0" applyFont="1" applyBorder="1" applyAlignment="1">
      <alignment horizontal="justify" vertical="center" wrapText="1"/>
    </xf>
    <xf numFmtId="3" fontId="59" fillId="25" borderId="14" xfId="0" applyNumberFormat="1" applyFont="1" applyFill="1" applyBorder="1" applyAlignment="1">
      <alignment/>
    </xf>
    <xf numFmtId="0" fontId="48" fillId="0" borderId="0" xfId="0" applyFont="1" applyAlignment="1">
      <alignment horizontal="left" wrapText="1"/>
    </xf>
    <xf numFmtId="0" fontId="48" fillId="0" borderId="21" xfId="0" applyFont="1" applyBorder="1" applyAlignment="1">
      <alignment horizontal="left" wrapText="1"/>
    </xf>
    <xf numFmtId="0" fontId="0" fillId="0" borderId="14" xfId="0" applyFont="1" applyBorder="1" applyAlignment="1">
      <alignment/>
    </xf>
    <xf numFmtId="0" fontId="9" fillId="25" borderId="42" xfId="0" applyFont="1" applyFill="1" applyBorder="1" applyAlignment="1">
      <alignment wrapText="1"/>
    </xf>
    <xf numFmtId="0" fontId="9" fillId="25" borderId="18" xfId="0" applyFont="1" applyFill="1" applyBorder="1" applyAlignment="1">
      <alignment horizontal="justify"/>
    </xf>
    <xf numFmtId="3" fontId="9" fillId="25" borderId="14" xfId="0" applyNumberFormat="1" applyFont="1" applyFill="1" applyBorder="1" applyAlignment="1">
      <alignment horizontal="left"/>
    </xf>
    <xf numFmtId="3" fontId="9" fillId="25" borderId="16" xfId="0" applyNumberFormat="1" applyFont="1" applyFill="1" applyBorder="1" applyAlignment="1">
      <alignment horizontal="left"/>
    </xf>
    <xf numFmtId="0" fontId="9" fillId="25" borderId="16" xfId="0" applyFont="1" applyFill="1" applyBorder="1" applyAlignment="1">
      <alignment horizontal="justify"/>
    </xf>
    <xf numFmtId="3" fontId="9" fillId="25" borderId="14" xfId="0" applyNumberFormat="1" applyFont="1" applyFill="1" applyBorder="1" applyAlignment="1">
      <alignment/>
    </xf>
    <xf numFmtId="3" fontId="9" fillId="25" borderId="14" xfId="0" applyNumberFormat="1" applyFont="1" applyFill="1" applyBorder="1" applyAlignment="1">
      <alignment horizontal="left" wrapText="1"/>
    </xf>
    <xf numFmtId="0" fontId="9" fillId="0" borderId="42" xfId="0" applyFont="1" applyFill="1" applyBorder="1" applyAlignment="1">
      <alignment wrapText="1"/>
    </xf>
    <xf numFmtId="0" fontId="9" fillId="0" borderId="21" xfId="0" applyFont="1" applyFill="1" applyBorder="1" applyAlignment="1">
      <alignment wrapText="1"/>
    </xf>
    <xf numFmtId="49" fontId="9" fillId="0" borderId="0" xfId="0" applyNumberFormat="1" applyFont="1" applyFill="1" applyBorder="1" applyAlignment="1">
      <alignment horizontal="right"/>
    </xf>
    <xf numFmtId="3" fontId="47" fillId="0" borderId="20" xfId="0" applyNumberFormat="1" applyFont="1" applyFill="1" applyBorder="1" applyAlignment="1">
      <alignment/>
    </xf>
    <xf numFmtId="0" fontId="47" fillId="0" borderId="20" xfId="0" applyFont="1" applyFill="1" applyBorder="1" applyAlignment="1">
      <alignment/>
    </xf>
    <xf numFmtId="0" fontId="9" fillId="0" borderId="62" xfId="0" applyFont="1" applyFill="1" applyBorder="1" applyAlignment="1">
      <alignment horizontal="right" wrapText="1"/>
    </xf>
    <xf numFmtId="0" fontId="51" fillId="0" borderId="62" xfId="0" applyFont="1" applyFill="1" applyBorder="1" applyAlignment="1">
      <alignment horizontal="left" wrapText="1"/>
    </xf>
    <xf numFmtId="0" fontId="10" fillId="0" borderId="16" xfId="0" applyFont="1" applyFill="1" applyBorder="1" applyAlignment="1">
      <alignment horizontal="right" wrapText="1"/>
    </xf>
    <xf numFmtId="0" fontId="30" fillId="0" borderId="0" xfId="0" applyFont="1" applyFill="1" applyAlignment="1">
      <alignment horizontal="center" wrapText="1"/>
    </xf>
    <xf numFmtId="0" fontId="37" fillId="0" borderId="0" xfId="0" applyFont="1" applyFill="1" applyAlignment="1">
      <alignment horizontal="center"/>
    </xf>
    <xf numFmtId="0" fontId="37" fillId="0" borderId="60" xfId="0" applyFont="1" applyFill="1" applyBorder="1" applyAlignment="1">
      <alignment horizontal="center" wrapText="1"/>
    </xf>
    <xf numFmtId="0" fontId="38" fillId="0" borderId="0" xfId="0" applyFont="1" applyAlignment="1">
      <alignment horizontal="center" wrapText="1"/>
    </xf>
    <xf numFmtId="0" fontId="29" fillId="0" borderId="0" xfId="0" applyFont="1" applyAlignment="1" applyProtection="1">
      <alignment horizontal="center" wrapText="1"/>
      <protection/>
    </xf>
    <xf numFmtId="0" fontId="29" fillId="0" borderId="48" xfId="0" applyFont="1" applyBorder="1" applyAlignment="1">
      <alignment horizontal="center"/>
    </xf>
    <xf numFmtId="0" fontId="31" fillId="0" borderId="14" xfId="0" applyFont="1" applyBorder="1" applyAlignment="1">
      <alignment horizontal="center" vertical="center"/>
    </xf>
    <xf numFmtId="0" fontId="9" fillId="25" borderId="14" xfId="0" applyFont="1" applyFill="1" applyBorder="1" applyAlignment="1">
      <alignment horizontal="left" wrapText="1"/>
    </xf>
    <xf numFmtId="0" fontId="10" fillId="0" borderId="14" xfId="0" applyFont="1" applyBorder="1" applyAlignment="1">
      <alignment horizontal="right"/>
    </xf>
    <xf numFmtId="0" fontId="30" fillId="0" borderId="25" xfId="0" applyFont="1" applyBorder="1" applyAlignment="1">
      <alignment horizontal="left" vertical="center" wrapText="1"/>
    </xf>
    <xf numFmtId="0" fontId="30" fillId="0" borderId="21" xfId="0" applyFont="1" applyBorder="1" applyAlignment="1">
      <alignment horizontal="left" vertical="center" wrapText="1"/>
    </xf>
    <xf numFmtId="0" fontId="30" fillId="0" borderId="25" xfId="0" applyFont="1" applyBorder="1" applyAlignment="1">
      <alignment horizontal="left" wrapText="1"/>
    </xf>
    <xf numFmtId="0" fontId="30" fillId="0" borderId="21" xfId="0" applyFont="1" applyBorder="1" applyAlignment="1">
      <alignment horizontal="left" wrapText="1"/>
    </xf>
    <xf numFmtId="0" fontId="30" fillId="0" borderId="20" xfId="0" applyFont="1" applyBorder="1" applyAlignment="1">
      <alignment horizontal="left" vertical="center" wrapText="1"/>
    </xf>
    <xf numFmtId="0" fontId="3" fillId="0" borderId="0" xfId="0" applyFont="1" applyAlignment="1">
      <alignment horizontal="center" wrapText="1"/>
    </xf>
    <xf numFmtId="0" fontId="6" fillId="0" borderId="60" xfId="0" applyFont="1" applyBorder="1" applyAlignment="1">
      <alignment horizontal="center" vertical="center"/>
    </xf>
    <xf numFmtId="0" fontId="6" fillId="0" borderId="0" xfId="0" applyFont="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9.g plāns apst 3" xfId="57"/>
    <cellStyle name="Normal_PROJEKTI_2016_PLĀNS_Aija un Inese" xfId="58"/>
    <cellStyle name="Normal_PROJEKTI_2016_PLĀNS_Aija un Inese 2" xfId="59"/>
    <cellStyle name="Normal_Sheet1" xfId="60"/>
    <cellStyle name="Normal_Sheet1_Pielikumi oktobra korekcijam 2" xfId="61"/>
    <cellStyle name="Normal_Specbudz.kopsavilkums 2006.g un korekc. 2" xfId="62"/>
    <cellStyle name="Note" xfId="63"/>
    <cellStyle name="Output" xfId="64"/>
    <cellStyle name="Parasts 2"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Dzedzele\AppData\Local\Microsoft\Windows\INetCache\Content.Outlook\VP4LD36I\KOPSAVILKUMS_bud&#382;eta%20t&#257;me_2018.gadam_LAUBE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zmaksas PB pa smalkajiem EKK"/>
      <sheetName val="Izmaksas PB pa lielajiem EKK"/>
      <sheetName val="Pamatbudžets   "/>
      <sheetName val="Specbudžets"/>
      <sheetName val="Specb pa veidiem"/>
      <sheetName val="Sheet3"/>
    </sheetNames>
    <sheetDataSet>
      <sheetData sheetId="1">
        <row r="14">
          <cell r="D14">
            <v>100</v>
          </cell>
        </row>
        <row r="18">
          <cell r="D18">
            <v>28016</v>
          </cell>
        </row>
        <row r="19">
          <cell r="D19">
            <v>5500</v>
          </cell>
        </row>
        <row r="20">
          <cell r="D20">
            <v>10735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312"/>
  <sheetViews>
    <sheetView tabSelected="1" zoomScale="90" zoomScaleNormal="90" zoomScalePageLayoutView="0" workbookViewId="0" topLeftCell="A1">
      <pane xSplit="2" ySplit="7" topLeftCell="C8" activePane="bottomRight" state="frozen"/>
      <selection pane="topLeft" activeCell="A1" sqref="A1"/>
      <selection pane="topRight" activeCell="D1" sqref="D1"/>
      <selection pane="bottomLeft" activeCell="A8" sqref="A8"/>
      <selection pane="bottomRight" activeCell="Y305" sqref="Y305"/>
    </sheetView>
  </sheetViews>
  <sheetFormatPr defaultColWidth="9.140625" defaultRowHeight="12.75"/>
  <cols>
    <col min="1" max="1" width="11.7109375" style="94" customWidth="1"/>
    <col min="2" max="2" width="41.00390625" style="95" customWidth="1"/>
    <col min="3" max="3" width="11.421875" style="107" customWidth="1"/>
    <col min="4" max="4" width="11.00390625" style="96" customWidth="1"/>
    <col min="5" max="5" width="11.00390625" style="94" customWidth="1"/>
    <col min="6" max="6" width="9.421875" style="94" customWidth="1"/>
    <col min="7" max="7" width="10.140625" style="94" customWidth="1"/>
    <col min="8" max="8" width="9.57421875" style="94" customWidth="1"/>
    <col min="9" max="9" width="10.00390625" style="94" customWidth="1"/>
    <col min="10" max="10" width="10.7109375" style="94" customWidth="1"/>
    <col min="11" max="11" width="10.00390625" style="94" customWidth="1"/>
    <col min="12" max="12" width="9.7109375" style="94" customWidth="1"/>
    <col min="13" max="13" width="10.421875" style="94" customWidth="1"/>
    <col min="14" max="14" width="10.28125" style="94" customWidth="1"/>
    <col min="15" max="15" width="11.7109375" style="97" customWidth="1"/>
    <col min="16" max="16384" width="9.140625" style="94" customWidth="1"/>
  </cols>
  <sheetData>
    <row r="1" spans="5:6" ht="15">
      <c r="E1" s="470" t="s">
        <v>25</v>
      </c>
      <c r="F1" s="470"/>
    </row>
    <row r="2" spans="1:6" ht="15">
      <c r="A2" s="98"/>
      <c r="E2" s="98" t="s">
        <v>26</v>
      </c>
      <c r="F2" s="98"/>
    </row>
    <row r="3" spans="1:6" ht="15">
      <c r="A3" s="98"/>
      <c r="E3" s="98" t="s">
        <v>839</v>
      </c>
      <c r="F3" s="98"/>
    </row>
    <row r="5" spans="1:4" ht="20.25">
      <c r="A5" s="620" t="s">
        <v>558</v>
      </c>
      <c r="B5" s="620"/>
      <c r="C5" s="620"/>
      <c r="D5" s="620"/>
    </row>
    <row r="6" spans="1:13" ht="15.75" thickBot="1">
      <c r="A6" s="98"/>
      <c r="B6" s="99"/>
      <c r="C6" s="306"/>
      <c r="M6" s="100"/>
    </row>
    <row r="7" spans="1:15" ht="102.75" customHeight="1" thickBot="1">
      <c r="A7" s="101" t="s">
        <v>23</v>
      </c>
      <c r="B7" s="102" t="s">
        <v>166</v>
      </c>
      <c r="C7" s="223" t="s">
        <v>559</v>
      </c>
      <c r="D7" s="224" t="s">
        <v>675</v>
      </c>
      <c r="E7" s="103" t="s">
        <v>560</v>
      </c>
      <c r="F7" s="103" t="s">
        <v>561</v>
      </c>
      <c r="G7" s="471" t="s">
        <v>562</v>
      </c>
      <c r="H7" s="471" t="s">
        <v>563</v>
      </c>
      <c r="I7" s="471" t="s">
        <v>564</v>
      </c>
      <c r="J7" s="471" t="s">
        <v>565</v>
      </c>
      <c r="K7" s="471" t="s">
        <v>566</v>
      </c>
      <c r="L7" s="471" t="s">
        <v>567</v>
      </c>
      <c r="M7" s="471" t="s">
        <v>568</v>
      </c>
      <c r="N7" s="472" t="s">
        <v>569</v>
      </c>
      <c r="O7" s="473" t="s">
        <v>570</v>
      </c>
    </row>
    <row r="8" spans="1:15" ht="15.75" thickBot="1">
      <c r="A8" s="104"/>
      <c r="B8" s="105" t="s">
        <v>39</v>
      </c>
      <c r="C8" s="106">
        <f>C9+C12+C17</f>
        <v>25487557</v>
      </c>
      <c r="D8" s="106">
        <f aca="true" t="shared" si="0" ref="D8:N8">D9+D12+D17</f>
        <v>0</v>
      </c>
      <c r="E8" s="106">
        <f t="shared" si="0"/>
        <v>0</v>
      </c>
      <c r="F8" s="125">
        <f t="shared" si="0"/>
        <v>0</v>
      </c>
      <c r="G8" s="106">
        <f t="shared" si="0"/>
        <v>114650</v>
      </c>
      <c r="H8" s="106">
        <f>H9+H12+H17</f>
        <v>47270</v>
      </c>
      <c r="I8" s="106">
        <f>I9+I12+I17</f>
        <v>44700</v>
      </c>
      <c r="J8" s="106">
        <f t="shared" si="0"/>
        <v>94746</v>
      </c>
      <c r="K8" s="106">
        <f t="shared" si="0"/>
        <v>49000</v>
      </c>
      <c r="L8" s="106">
        <f t="shared" si="0"/>
        <v>44282</v>
      </c>
      <c r="M8" s="106">
        <f t="shared" si="0"/>
        <v>41919</v>
      </c>
      <c r="N8" s="106">
        <f t="shared" si="0"/>
        <v>64460</v>
      </c>
      <c r="O8" s="307">
        <f aca="true" t="shared" si="1" ref="O8:O48">SUM(C8:N8)</f>
        <v>25988584</v>
      </c>
    </row>
    <row r="9" spans="1:15" ht="15">
      <c r="A9" s="108" t="s">
        <v>40</v>
      </c>
      <c r="B9" s="109" t="s">
        <v>167</v>
      </c>
      <c r="C9" s="110">
        <f>SUM(C10:C11)</f>
        <v>23718601</v>
      </c>
      <c r="D9" s="110">
        <f aca="true" t="shared" si="2" ref="D9:N9">SUM(D10:D11)</f>
        <v>0</v>
      </c>
      <c r="E9" s="110">
        <f t="shared" si="2"/>
        <v>0</v>
      </c>
      <c r="F9" s="126">
        <f t="shared" si="2"/>
        <v>0</v>
      </c>
      <c r="G9" s="110">
        <f t="shared" si="2"/>
        <v>0</v>
      </c>
      <c r="H9" s="110">
        <f t="shared" si="2"/>
        <v>0</v>
      </c>
      <c r="I9" s="110">
        <f t="shared" si="2"/>
        <v>0</v>
      </c>
      <c r="J9" s="110">
        <f t="shared" si="2"/>
        <v>0</v>
      </c>
      <c r="K9" s="110">
        <f t="shared" si="2"/>
        <v>0</v>
      </c>
      <c r="L9" s="110">
        <f t="shared" si="2"/>
        <v>0</v>
      </c>
      <c r="M9" s="110">
        <f t="shared" si="2"/>
        <v>0</v>
      </c>
      <c r="N9" s="110">
        <f t="shared" si="2"/>
        <v>0</v>
      </c>
      <c r="O9" s="308">
        <f t="shared" si="1"/>
        <v>23718601</v>
      </c>
    </row>
    <row r="10" spans="1:15" ht="45">
      <c r="A10" s="111" t="s">
        <v>41</v>
      </c>
      <c r="B10" s="112" t="s">
        <v>168</v>
      </c>
      <c r="C10" s="38">
        <v>176450</v>
      </c>
      <c r="D10" s="38"/>
      <c r="E10" s="38"/>
      <c r="F10" s="113"/>
      <c r="G10" s="38"/>
      <c r="H10" s="38"/>
      <c r="I10" s="38"/>
      <c r="J10" s="38"/>
      <c r="K10" s="38"/>
      <c r="L10" s="38"/>
      <c r="M10" s="38"/>
      <c r="N10" s="38"/>
      <c r="O10" s="308">
        <f t="shared" si="1"/>
        <v>176450</v>
      </c>
    </row>
    <row r="11" spans="1:15" ht="30">
      <c r="A11" s="111" t="s">
        <v>42</v>
      </c>
      <c r="B11" s="112" t="s">
        <v>169</v>
      </c>
      <c r="C11" s="38">
        <v>23542151</v>
      </c>
      <c r="D11" s="38"/>
      <c r="E11" s="115"/>
      <c r="F11" s="113"/>
      <c r="G11" s="38"/>
      <c r="H11" s="38"/>
      <c r="I11" s="38"/>
      <c r="J11" s="38"/>
      <c r="K11" s="38"/>
      <c r="L11" s="38"/>
      <c r="M11" s="38"/>
      <c r="N11" s="38"/>
      <c r="O11" s="308">
        <f t="shared" si="1"/>
        <v>23542151</v>
      </c>
    </row>
    <row r="12" spans="1:15" ht="15">
      <c r="A12" s="116" t="s">
        <v>170</v>
      </c>
      <c r="B12" s="112" t="s">
        <v>171</v>
      </c>
      <c r="C12" s="38">
        <f>C13</f>
        <v>1698956</v>
      </c>
      <c r="D12" s="38"/>
      <c r="E12" s="38"/>
      <c r="F12" s="113"/>
      <c r="G12" s="38">
        <f>G13</f>
        <v>114650</v>
      </c>
      <c r="H12" s="114">
        <f aca="true" t="shared" si="3" ref="H12:N12">H13</f>
        <v>47270</v>
      </c>
      <c r="I12" s="114">
        <f t="shared" si="3"/>
        <v>44700</v>
      </c>
      <c r="J12" s="114">
        <f t="shared" si="3"/>
        <v>94746</v>
      </c>
      <c r="K12" s="114">
        <f t="shared" si="3"/>
        <v>49000</v>
      </c>
      <c r="L12" s="114">
        <f t="shared" si="3"/>
        <v>44282</v>
      </c>
      <c r="M12" s="114">
        <f t="shared" si="3"/>
        <v>41919</v>
      </c>
      <c r="N12" s="114">
        <f t="shared" si="3"/>
        <v>64460</v>
      </c>
      <c r="O12" s="308">
        <f t="shared" si="1"/>
        <v>2199983</v>
      </c>
    </row>
    <row r="13" spans="1:15" ht="15">
      <c r="A13" s="116" t="s">
        <v>43</v>
      </c>
      <c r="B13" s="112" t="s">
        <v>44</v>
      </c>
      <c r="C13" s="38">
        <f>SUM(C14:C16)</f>
        <v>1698956</v>
      </c>
      <c r="D13" s="38"/>
      <c r="E13" s="38"/>
      <c r="F13" s="113"/>
      <c r="G13" s="38">
        <f>SUM(G14:G16)</f>
        <v>114650</v>
      </c>
      <c r="H13" s="38">
        <f aca="true" t="shared" si="4" ref="H13:N13">SUM(H14:H16)</f>
        <v>47270</v>
      </c>
      <c r="I13" s="38">
        <f t="shared" si="4"/>
        <v>44700</v>
      </c>
      <c r="J13" s="38">
        <f>SUM(J14:J16)</f>
        <v>94746</v>
      </c>
      <c r="K13" s="38">
        <f t="shared" si="4"/>
        <v>49000</v>
      </c>
      <c r="L13" s="38">
        <f t="shared" si="4"/>
        <v>44282</v>
      </c>
      <c r="M13" s="38">
        <f t="shared" si="4"/>
        <v>41919</v>
      </c>
      <c r="N13" s="38">
        <f t="shared" si="4"/>
        <v>64460</v>
      </c>
      <c r="O13" s="308">
        <f t="shared" si="1"/>
        <v>2199983</v>
      </c>
    </row>
    <row r="14" spans="1:15" ht="15">
      <c r="A14" s="111" t="s">
        <v>27</v>
      </c>
      <c r="B14" s="112" t="s">
        <v>45</v>
      </c>
      <c r="C14" s="114">
        <v>752703</v>
      </c>
      <c r="D14" s="117"/>
      <c r="E14" s="117"/>
      <c r="F14" s="252"/>
      <c r="G14" s="225">
        <v>102100</v>
      </c>
      <c r="H14" s="117">
        <v>42360</v>
      </c>
      <c r="I14" s="225">
        <v>40000</v>
      </c>
      <c r="J14" s="117">
        <v>86565</v>
      </c>
      <c r="K14" s="117">
        <v>45000</v>
      </c>
      <c r="L14" s="118">
        <v>41736</v>
      </c>
      <c r="M14" s="118">
        <v>40439</v>
      </c>
      <c r="N14" s="117">
        <v>61238</v>
      </c>
      <c r="O14" s="308">
        <f t="shared" si="1"/>
        <v>1212141</v>
      </c>
    </row>
    <row r="15" spans="1:15" ht="15">
      <c r="A15" s="111" t="s">
        <v>28</v>
      </c>
      <c r="B15" s="112" t="s">
        <v>46</v>
      </c>
      <c r="C15" s="539">
        <f>541052+65170</f>
        <v>606222</v>
      </c>
      <c r="D15" s="117"/>
      <c r="E15" s="117"/>
      <c r="F15" s="252"/>
      <c r="G15" s="225">
        <v>5900</v>
      </c>
      <c r="H15" s="117">
        <v>2950</v>
      </c>
      <c r="I15" s="225">
        <v>2200</v>
      </c>
      <c r="J15" s="117">
        <v>3370</v>
      </c>
      <c r="K15" s="117">
        <v>4000</v>
      </c>
      <c r="L15" s="117">
        <v>2546</v>
      </c>
      <c r="M15" s="117">
        <v>256</v>
      </c>
      <c r="N15" s="117">
        <v>833</v>
      </c>
      <c r="O15" s="308">
        <f t="shared" si="1"/>
        <v>628277</v>
      </c>
    </row>
    <row r="16" spans="1:15" ht="15">
      <c r="A16" s="111" t="s">
        <v>241</v>
      </c>
      <c r="B16" s="112" t="s">
        <v>242</v>
      </c>
      <c r="C16" s="114">
        <v>340031</v>
      </c>
      <c r="D16" s="117"/>
      <c r="E16" s="117"/>
      <c r="F16" s="252"/>
      <c r="G16" s="225">
        <v>6650</v>
      </c>
      <c r="H16" s="117">
        <v>1960</v>
      </c>
      <c r="I16" s="225">
        <v>2500</v>
      </c>
      <c r="J16" s="117">
        <v>4811</v>
      </c>
      <c r="K16" s="117"/>
      <c r="L16" s="117"/>
      <c r="M16" s="117">
        <v>1224</v>
      </c>
      <c r="N16" s="117">
        <v>2389</v>
      </c>
      <c r="O16" s="308">
        <f t="shared" si="1"/>
        <v>359565</v>
      </c>
    </row>
    <row r="17" spans="1:15" ht="15.75" thickBot="1">
      <c r="A17" s="119" t="s">
        <v>29</v>
      </c>
      <c r="B17" s="120" t="s">
        <v>47</v>
      </c>
      <c r="C17" s="121">
        <v>70000</v>
      </c>
      <c r="D17" s="121"/>
      <c r="E17" s="121"/>
      <c r="F17" s="122"/>
      <c r="G17" s="123"/>
      <c r="H17" s="123"/>
      <c r="I17" s="123"/>
      <c r="J17" s="124"/>
      <c r="K17" s="124"/>
      <c r="L17" s="124"/>
      <c r="M17" s="124"/>
      <c r="N17" s="226"/>
      <c r="O17" s="309">
        <f t="shared" si="1"/>
        <v>70000</v>
      </c>
    </row>
    <row r="18" spans="1:15" ht="15.75" thickBot="1">
      <c r="A18" s="104"/>
      <c r="B18" s="105" t="s">
        <v>48</v>
      </c>
      <c r="C18" s="106">
        <f>SUM(C19:C26)</f>
        <v>146881</v>
      </c>
      <c r="D18" s="106">
        <f aca="true" t="shared" si="5" ref="D18:N18">SUM(D19:D26)</f>
        <v>2400</v>
      </c>
      <c r="E18" s="106">
        <f t="shared" si="5"/>
        <v>0</v>
      </c>
      <c r="F18" s="106">
        <f t="shared" si="5"/>
        <v>0</v>
      </c>
      <c r="G18" s="106">
        <f t="shared" si="5"/>
        <v>11400</v>
      </c>
      <c r="H18" s="106">
        <f t="shared" si="5"/>
        <v>3300</v>
      </c>
      <c r="I18" s="106">
        <f t="shared" si="5"/>
        <v>150</v>
      </c>
      <c r="J18" s="106">
        <f t="shared" si="5"/>
        <v>4808</v>
      </c>
      <c r="K18" s="106">
        <f t="shared" si="5"/>
        <v>40</v>
      </c>
      <c r="L18" s="106">
        <f t="shared" si="5"/>
        <v>4940</v>
      </c>
      <c r="M18" s="106">
        <f t="shared" si="5"/>
        <v>1100</v>
      </c>
      <c r="N18" s="106">
        <f t="shared" si="5"/>
        <v>489</v>
      </c>
      <c r="O18" s="307">
        <f t="shared" si="1"/>
        <v>175508</v>
      </c>
    </row>
    <row r="19" spans="1:15" ht="15">
      <c r="A19" s="108" t="s">
        <v>571</v>
      </c>
      <c r="B19" s="204" t="s">
        <v>572</v>
      </c>
      <c r="C19" s="474">
        <v>60000</v>
      </c>
      <c r="D19" s="205"/>
      <c r="E19" s="205"/>
      <c r="F19" s="168"/>
      <c r="G19" s="205"/>
      <c r="H19" s="168"/>
      <c r="I19" s="168"/>
      <c r="J19" s="168"/>
      <c r="K19" s="168"/>
      <c r="L19" s="168"/>
      <c r="M19" s="168"/>
      <c r="N19" s="168"/>
      <c r="O19" s="308">
        <f t="shared" si="1"/>
        <v>60000</v>
      </c>
    </row>
    <row r="20" spans="1:15" ht="30">
      <c r="A20" s="108" t="s">
        <v>172</v>
      </c>
      <c r="B20" s="109" t="s">
        <v>173</v>
      </c>
      <c r="C20" s="110"/>
      <c r="D20" s="110"/>
      <c r="E20" s="110"/>
      <c r="F20" s="126"/>
      <c r="G20" s="128"/>
      <c r="H20" s="128"/>
      <c r="I20" s="129"/>
      <c r="J20" s="129">
        <v>150</v>
      </c>
      <c r="K20" s="129"/>
      <c r="L20" s="129"/>
      <c r="M20" s="129"/>
      <c r="N20" s="150"/>
      <c r="O20" s="308">
        <f t="shared" si="1"/>
        <v>150</v>
      </c>
    </row>
    <row r="21" spans="1:15" ht="30">
      <c r="A21" s="116" t="s">
        <v>49</v>
      </c>
      <c r="B21" s="112" t="s">
        <v>50</v>
      </c>
      <c r="C21" s="38">
        <v>10920</v>
      </c>
      <c r="D21" s="38"/>
      <c r="E21" s="38"/>
      <c r="F21" s="113"/>
      <c r="G21" s="118"/>
      <c r="H21" s="118">
        <v>200</v>
      </c>
      <c r="I21" s="130">
        <v>150</v>
      </c>
      <c r="J21" s="130">
        <v>2200</v>
      </c>
      <c r="K21" s="130">
        <v>40</v>
      </c>
      <c r="L21" s="130">
        <v>240</v>
      </c>
      <c r="M21" s="130">
        <v>300</v>
      </c>
      <c r="N21" s="133">
        <v>100</v>
      </c>
      <c r="O21" s="308">
        <f t="shared" si="1"/>
        <v>14150</v>
      </c>
    </row>
    <row r="22" spans="1:15" ht="15">
      <c r="A22" s="116" t="s">
        <v>31</v>
      </c>
      <c r="B22" s="112" t="s">
        <v>30</v>
      </c>
      <c r="C22" s="38">
        <v>16200</v>
      </c>
      <c r="D22" s="38">
        <v>2400</v>
      </c>
      <c r="E22" s="38"/>
      <c r="F22" s="113"/>
      <c r="G22" s="118">
        <v>2000</v>
      </c>
      <c r="H22" s="118">
        <v>100</v>
      </c>
      <c r="I22" s="130"/>
      <c r="J22" s="130">
        <v>1658</v>
      </c>
      <c r="K22" s="130"/>
      <c r="L22" s="130">
        <v>200</v>
      </c>
      <c r="M22" s="130">
        <v>100</v>
      </c>
      <c r="N22" s="133">
        <v>29</v>
      </c>
      <c r="O22" s="308">
        <f t="shared" si="1"/>
        <v>22687</v>
      </c>
    </row>
    <row r="23" spans="1:15" ht="15">
      <c r="A23" s="116" t="s">
        <v>435</v>
      </c>
      <c r="B23" s="112" t="s">
        <v>461</v>
      </c>
      <c r="C23" s="38"/>
      <c r="D23" s="38"/>
      <c r="E23" s="38"/>
      <c r="F23" s="113"/>
      <c r="G23" s="118"/>
      <c r="H23" s="118"/>
      <c r="I23" s="130"/>
      <c r="J23" s="130"/>
      <c r="K23" s="130"/>
      <c r="L23" s="130"/>
      <c r="M23" s="130"/>
      <c r="N23" s="133"/>
      <c r="O23" s="308">
        <f t="shared" si="1"/>
        <v>0</v>
      </c>
    </row>
    <row r="24" spans="1:15" ht="15">
      <c r="A24" s="116" t="s">
        <v>174</v>
      </c>
      <c r="B24" s="112" t="s">
        <v>175</v>
      </c>
      <c r="C24" s="38">
        <f>31000+1300</f>
        <v>32300</v>
      </c>
      <c r="D24" s="38"/>
      <c r="E24" s="38"/>
      <c r="F24" s="113"/>
      <c r="G24" s="118">
        <v>200</v>
      </c>
      <c r="H24" s="118"/>
      <c r="I24" s="130"/>
      <c r="J24" s="130">
        <v>800</v>
      </c>
      <c r="K24" s="130"/>
      <c r="L24" s="130"/>
      <c r="M24" s="130"/>
      <c r="N24" s="133">
        <v>360</v>
      </c>
      <c r="O24" s="308">
        <f t="shared" si="1"/>
        <v>33660</v>
      </c>
    </row>
    <row r="25" spans="1:15" ht="15">
      <c r="A25" s="116" t="s">
        <v>573</v>
      </c>
      <c r="B25" s="112" t="s">
        <v>51</v>
      </c>
      <c r="C25" s="38">
        <f>25500+1961</f>
        <v>27461</v>
      </c>
      <c r="D25" s="38"/>
      <c r="E25" s="38"/>
      <c r="F25" s="113"/>
      <c r="G25" s="118"/>
      <c r="H25" s="118"/>
      <c r="I25" s="130"/>
      <c r="J25" s="130"/>
      <c r="K25" s="130"/>
      <c r="L25" s="130"/>
      <c r="M25" s="130">
        <v>700</v>
      </c>
      <c r="N25" s="133"/>
      <c r="O25" s="308">
        <f t="shared" si="1"/>
        <v>28161</v>
      </c>
    </row>
    <row r="26" spans="1:15" ht="27.75" customHeight="1">
      <c r="A26" s="116" t="s">
        <v>157</v>
      </c>
      <c r="B26" s="112" t="s">
        <v>349</v>
      </c>
      <c r="C26" s="38"/>
      <c r="D26" s="38"/>
      <c r="E26" s="38"/>
      <c r="F26" s="113"/>
      <c r="G26" s="38">
        <v>9200</v>
      </c>
      <c r="H26" s="113">
        <v>3000</v>
      </c>
      <c r="I26" s="113"/>
      <c r="J26" s="130"/>
      <c r="K26" s="113"/>
      <c r="L26" s="130">
        <v>4500</v>
      </c>
      <c r="M26" s="113"/>
      <c r="N26" s="113"/>
      <c r="O26" s="308">
        <f t="shared" si="1"/>
        <v>16700</v>
      </c>
    </row>
    <row r="27" spans="1:15" ht="58.5" thickBot="1">
      <c r="A27" s="134" t="s">
        <v>357</v>
      </c>
      <c r="B27" s="211" t="s">
        <v>356</v>
      </c>
      <c r="C27" s="143">
        <v>12487</v>
      </c>
      <c r="D27" s="143"/>
      <c r="E27" s="143"/>
      <c r="F27" s="144"/>
      <c r="G27" s="143"/>
      <c r="H27" s="144"/>
      <c r="I27" s="144"/>
      <c r="J27" s="184"/>
      <c r="K27" s="144"/>
      <c r="L27" s="184"/>
      <c r="M27" s="144"/>
      <c r="N27" s="144"/>
      <c r="O27" s="308">
        <f t="shared" si="1"/>
        <v>12487</v>
      </c>
    </row>
    <row r="28" spans="1:15" ht="15.75" thickBot="1">
      <c r="A28" s="135" t="s">
        <v>52</v>
      </c>
      <c r="B28" s="105" t="s">
        <v>53</v>
      </c>
      <c r="C28" s="106">
        <f>SUM(C29:C29)</f>
        <v>14583552</v>
      </c>
      <c r="D28" s="106">
        <f aca="true" t="shared" si="6" ref="D28:N28">SUM(D29:D29)</f>
        <v>0</v>
      </c>
      <c r="E28" s="106">
        <f t="shared" si="6"/>
        <v>7100</v>
      </c>
      <c r="F28" s="125">
        <f t="shared" si="6"/>
        <v>0</v>
      </c>
      <c r="G28" s="106">
        <f t="shared" si="6"/>
        <v>0</v>
      </c>
      <c r="H28" s="106">
        <f t="shared" si="6"/>
        <v>0</v>
      </c>
      <c r="I28" s="106">
        <f t="shared" si="6"/>
        <v>0</v>
      </c>
      <c r="J28" s="106">
        <f t="shared" si="6"/>
        <v>70854</v>
      </c>
      <c r="K28" s="106">
        <f t="shared" si="6"/>
        <v>0</v>
      </c>
      <c r="L28" s="106">
        <f t="shared" si="6"/>
        <v>6740</v>
      </c>
      <c r="M28" s="106">
        <f t="shared" si="6"/>
        <v>0</v>
      </c>
      <c r="N28" s="106">
        <f t="shared" si="6"/>
        <v>0</v>
      </c>
      <c r="O28" s="307">
        <f t="shared" si="1"/>
        <v>14668246</v>
      </c>
    </row>
    <row r="29" spans="1:15" ht="30.75" thickBot="1">
      <c r="A29" s="136" t="s">
        <v>237</v>
      </c>
      <c r="B29" s="137" t="s">
        <v>243</v>
      </c>
      <c r="C29" s="110">
        <f>12655477+45338+2377230+2576989+644764-3712664-3582</f>
        <v>14583552</v>
      </c>
      <c r="D29" s="110"/>
      <c r="E29" s="110">
        <v>7100</v>
      </c>
      <c r="F29" s="126"/>
      <c r="G29" s="110"/>
      <c r="H29" s="126"/>
      <c r="I29" s="126"/>
      <c r="J29" s="126">
        <f>48079+22775</f>
        <v>70854</v>
      </c>
      <c r="K29" s="126"/>
      <c r="L29" s="126">
        <v>6740</v>
      </c>
      <c r="M29" s="126"/>
      <c r="N29" s="126"/>
      <c r="O29" s="308">
        <f t="shared" si="1"/>
        <v>14668246</v>
      </c>
    </row>
    <row r="30" spans="1:15" ht="15.75" thickBot="1">
      <c r="A30" s="135" t="s">
        <v>54</v>
      </c>
      <c r="B30" s="105" t="s">
        <v>55</v>
      </c>
      <c r="C30" s="125">
        <f>SUM(C31:C33)</f>
        <v>600000</v>
      </c>
      <c r="D30" s="125">
        <f aca="true" t="shared" si="7" ref="D30:N30">SUM(D31:D33)</f>
        <v>0</v>
      </c>
      <c r="E30" s="125">
        <f t="shared" si="7"/>
        <v>0</v>
      </c>
      <c r="F30" s="125">
        <f t="shared" si="7"/>
        <v>0</v>
      </c>
      <c r="G30" s="106">
        <f t="shared" si="7"/>
        <v>0</v>
      </c>
      <c r="H30" s="106">
        <f t="shared" si="7"/>
        <v>17353</v>
      </c>
      <c r="I30" s="106">
        <f t="shared" si="7"/>
        <v>0</v>
      </c>
      <c r="J30" s="106">
        <f t="shared" si="7"/>
        <v>81500</v>
      </c>
      <c r="K30" s="106">
        <f t="shared" si="7"/>
        <v>0</v>
      </c>
      <c r="L30" s="106">
        <f t="shared" si="7"/>
        <v>0</v>
      </c>
      <c r="M30" s="106">
        <f t="shared" si="7"/>
        <v>0</v>
      </c>
      <c r="N30" s="106">
        <f t="shared" si="7"/>
        <v>0</v>
      </c>
      <c r="O30" s="307">
        <f t="shared" si="1"/>
        <v>698853</v>
      </c>
    </row>
    <row r="31" spans="1:15" ht="30">
      <c r="A31" s="108" t="s">
        <v>177</v>
      </c>
      <c r="B31" s="109" t="s">
        <v>244</v>
      </c>
      <c r="C31" s="126"/>
      <c r="D31" s="126"/>
      <c r="E31" s="126"/>
      <c r="F31" s="126"/>
      <c r="G31" s="110"/>
      <c r="H31" s="126"/>
      <c r="I31" s="126"/>
      <c r="J31" s="126"/>
      <c r="K31" s="126"/>
      <c r="L31" s="126"/>
      <c r="M31" s="126"/>
      <c r="N31" s="126"/>
      <c r="O31" s="308">
        <f t="shared" si="1"/>
        <v>0</v>
      </c>
    </row>
    <row r="32" spans="1:15" ht="30">
      <c r="A32" s="116" t="s">
        <v>56</v>
      </c>
      <c r="B32" s="112" t="s">
        <v>245</v>
      </c>
      <c r="C32" s="113">
        <v>600000</v>
      </c>
      <c r="D32" s="113"/>
      <c r="E32" s="113"/>
      <c r="F32" s="113"/>
      <c r="G32" s="38"/>
      <c r="H32" s="113">
        <f>54915-37562</f>
        <v>17353</v>
      </c>
      <c r="I32" s="113"/>
      <c r="J32" s="113">
        <v>81500</v>
      </c>
      <c r="K32" s="113"/>
      <c r="L32" s="38"/>
      <c r="M32" s="113"/>
      <c r="N32" s="113"/>
      <c r="O32" s="308">
        <f t="shared" si="1"/>
        <v>698853</v>
      </c>
    </row>
    <row r="33" spans="1:15" ht="26.25" customHeight="1" thickBot="1">
      <c r="A33" s="119" t="s">
        <v>57</v>
      </c>
      <c r="B33" s="112" t="s">
        <v>436</v>
      </c>
      <c r="C33" s="121"/>
      <c r="D33" s="121"/>
      <c r="E33" s="121"/>
      <c r="F33" s="122"/>
      <c r="G33" s="227"/>
      <c r="H33" s="121"/>
      <c r="I33" s="303"/>
      <c r="J33" s="121"/>
      <c r="K33" s="122"/>
      <c r="L33" s="138"/>
      <c r="M33" s="228"/>
      <c r="N33" s="229"/>
      <c r="O33" s="309">
        <f t="shared" si="1"/>
        <v>0</v>
      </c>
    </row>
    <row r="34" spans="1:15" ht="15.75" thickBot="1">
      <c r="A34" s="135" t="s">
        <v>58</v>
      </c>
      <c r="B34" s="105" t="s">
        <v>59</v>
      </c>
      <c r="C34" s="125">
        <f>SUM(C35,C36,C42)</f>
        <v>394238</v>
      </c>
      <c r="D34" s="125">
        <f aca="true" t="shared" si="8" ref="D34:N34">SUM(D35,D36,D42)</f>
        <v>7217792</v>
      </c>
      <c r="E34" s="125">
        <f t="shared" si="8"/>
        <v>174906</v>
      </c>
      <c r="F34" s="125">
        <f t="shared" si="8"/>
        <v>250476</v>
      </c>
      <c r="G34" s="125">
        <f>SUM(G35,G36,G42)</f>
        <v>68130</v>
      </c>
      <c r="H34" s="125">
        <f t="shared" si="8"/>
        <v>101846</v>
      </c>
      <c r="I34" s="125">
        <f t="shared" si="8"/>
        <v>121594</v>
      </c>
      <c r="J34" s="125">
        <f t="shared" si="8"/>
        <v>583387</v>
      </c>
      <c r="K34" s="125">
        <f t="shared" si="8"/>
        <v>11925</v>
      </c>
      <c r="L34" s="125">
        <f t="shared" si="8"/>
        <v>13312</v>
      </c>
      <c r="M34" s="125">
        <f t="shared" si="8"/>
        <v>13700</v>
      </c>
      <c r="N34" s="125">
        <f t="shared" si="8"/>
        <v>41200</v>
      </c>
      <c r="O34" s="307">
        <f t="shared" si="1"/>
        <v>8992506</v>
      </c>
    </row>
    <row r="35" spans="1:15" ht="31.5">
      <c r="A35" s="139" t="s">
        <v>216</v>
      </c>
      <c r="B35" s="310" t="s">
        <v>217</v>
      </c>
      <c r="C35" s="127">
        <f>6000+3582</f>
        <v>9582</v>
      </c>
      <c r="D35" s="110"/>
      <c r="E35" s="126"/>
      <c r="F35" s="126"/>
      <c r="G35" s="140"/>
      <c r="H35" s="140"/>
      <c r="I35" s="129"/>
      <c r="J35" s="129"/>
      <c r="K35" s="129"/>
      <c r="L35" s="129"/>
      <c r="M35" s="129"/>
      <c r="N35" s="150"/>
      <c r="O35" s="308">
        <f t="shared" si="1"/>
        <v>9582</v>
      </c>
    </row>
    <row r="36" spans="1:15" ht="30" customHeight="1">
      <c r="A36" s="141" t="s">
        <v>60</v>
      </c>
      <c r="B36" s="142" t="s">
        <v>246</v>
      </c>
      <c r="C36" s="54">
        <f>SUM(C37:C41)</f>
        <v>384656</v>
      </c>
      <c r="D36" s="54">
        <f aca="true" t="shared" si="9" ref="D36:N36">SUM(D37:D41)</f>
        <v>7116510</v>
      </c>
      <c r="E36" s="311">
        <f t="shared" si="9"/>
        <v>174811</v>
      </c>
      <c r="F36" s="170">
        <f t="shared" si="9"/>
        <v>250476</v>
      </c>
      <c r="G36" s="54">
        <f t="shared" si="9"/>
        <v>68130</v>
      </c>
      <c r="H36" s="311">
        <f t="shared" si="9"/>
        <v>99846</v>
      </c>
      <c r="I36" s="54">
        <f t="shared" si="9"/>
        <v>121594</v>
      </c>
      <c r="J36" s="311">
        <f t="shared" si="9"/>
        <v>583387</v>
      </c>
      <c r="K36" s="54">
        <f t="shared" si="9"/>
        <v>7925</v>
      </c>
      <c r="L36" s="311">
        <f t="shared" si="9"/>
        <v>13312</v>
      </c>
      <c r="M36" s="54">
        <f t="shared" si="9"/>
        <v>13700</v>
      </c>
      <c r="N36" s="312">
        <f t="shared" si="9"/>
        <v>41200</v>
      </c>
      <c r="O36" s="308">
        <f t="shared" si="1"/>
        <v>8875547</v>
      </c>
    </row>
    <row r="37" spans="1:15" ht="15">
      <c r="A37" s="111" t="s">
        <v>178</v>
      </c>
      <c r="B37" s="112" t="s">
        <v>179</v>
      </c>
      <c r="C37" s="114">
        <v>197710</v>
      </c>
      <c r="D37" s="114"/>
      <c r="E37" s="132"/>
      <c r="F37" s="113"/>
      <c r="G37" s="38">
        <v>50500</v>
      </c>
      <c r="H37" s="54"/>
      <c r="I37" s="38"/>
      <c r="J37" s="38">
        <v>71902</v>
      </c>
      <c r="K37" s="54"/>
      <c r="L37" s="54"/>
      <c r="M37" s="54"/>
      <c r="N37" s="170"/>
      <c r="O37" s="308">
        <f t="shared" si="1"/>
        <v>320112</v>
      </c>
    </row>
    <row r="38" spans="1:15" ht="15">
      <c r="A38" s="111" t="s">
        <v>574</v>
      </c>
      <c r="B38" s="112" t="s">
        <v>437</v>
      </c>
      <c r="C38" s="38"/>
      <c r="D38" s="38"/>
      <c r="E38" s="38"/>
      <c r="F38" s="113"/>
      <c r="G38" s="131"/>
      <c r="H38" s="131"/>
      <c r="I38" s="130"/>
      <c r="J38" s="130"/>
      <c r="K38" s="130"/>
      <c r="L38" s="130"/>
      <c r="M38" s="130"/>
      <c r="N38" s="133"/>
      <c r="O38" s="308">
        <f t="shared" si="1"/>
        <v>0</v>
      </c>
    </row>
    <row r="39" spans="1:15" ht="30">
      <c r="A39" s="111" t="s">
        <v>180</v>
      </c>
      <c r="B39" s="112" t="s">
        <v>575</v>
      </c>
      <c r="C39" s="38"/>
      <c r="D39" s="38"/>
      <c r="E39" s="38"/>
      <c r="F39" s="113"/>
      <c r="G39" s="131"/>
      <c r="H39" s="118">
        <v>10</v>
      </c>
      <c r="I39" s="130"/>
      <c r="J39" s="130">
        <v>30</v>
      </c>
      <c r="K39" s="130"/>
      <c r="L39" s="130"/>
      <c r="M39" s="130"/>
      <c r="N39" s="133"/>
      <c r="O39" s="308">
        <f t="shared" si="1"/>
        <v>40</v>
      </c>
    </row>
    <row r="40" spans="1:15" ht="15">
      <c r="A40" s="111" t="s">
        <v>61</v>
      </c>
      <c r="B40" s="112" t="s">
        <v>62</v>
      </c>
      <c r="C40" s="38">
        <f>156547+9099</f>
        <v>165646</v>
      </c>
      <c r="D40" s="38">
        <v>193039</v>
      </c>
      <c r="E40" s="38">
        <v>73572</v>
      </c>
      <c r="F40" s="113">
        <f>12048+517</f>
        <v>12565</v>
      </c>
      <c r="G40" s="118">
        <v>5000</v>
      </c>
      <c r="H40" s="118">
        <f>8600-14</f>
        <v>8586</v>
      </c>
      <c r="I40" s="118">
        <v>6930</v>
      </c>
      <c r="J40" s="130">
        <v>31239</v>
      </c>
      <c r="K40" s="130">
        <v>1925</v>
      </c>
      <c r="L40" s="130">
        <v>2900</v>
      </c>
      <c r="M40" s="130">
        <v>4000</v>
      </c>
      <c r="N40" s="133">
        <v>9200</v>
      </c>
      <c r="O40" s="308">
        <f t="shared" si="1"/>
        <v>514602</v>
      </c>
    </row>
    <row r="41" spans="1:15" ht="30">
      <c r="A41" s="111" t="s">
        <v>63</v>
      </c>
      <c r="B41" s="112" t="s">
        <v>64</v>
      </c>
      <c r="C41" s="38">
        <v>21300</v>
      </c>
      <c r="D41" s="38">
        <v>6923471</v>
      </c>
      <c r="E41" s="38">
        <v>101239</v>
      </c>
      <c r="F41" s="113">
        <f>236511+1400</f>
        <v>237911</v>
      </c>
      <c r="G41" s="225">
        <f>8500+4130</f>
        <v>12630</v>
      </c>
      <c r="H41" s="118">
        <v>91250</v>
      </c>
      <c r="I41" s="225">
        <v>114664</v>
      </c>
      <c r="J41" s="117">
        <v>480216</v>
      </c>
      <c r="K41" s="117">
        <v>6000</v>
      </c>
      <c r="L41" s="117">
        <v>10412</v>
      </c>
      <c r="M41" s="117">
        <v>9700</v>
      </c>
      <c r="N41" s="117">
        <v>32000</v>
      </c>
      <c r="O41" s="308">
        <f t="shared" si="1"/>
        <v>8040793</v>
      </c>
    </row>
    <row r="42" spans="1:15" ht="30" thickBot="1">
      <c r="A42" s="141" t="s">
        <v>382</v>
      </c>
      <c r="B42" s="142" t="s">
        <v>383</v>
      </c>
      <c r="C42" s="143"/>
      <c r="D42" s="143">
        <v>101282</v>
      </c>
      <c r="E42" s="143">
        <v>95</v>
      </c>
      <c r="F42" s="144"/>
      <c r="G42" s="313"/>
      <c r="H42" s="230">
        <v>2000</v>
      </c>
      <c r="I42" s="314"/>
      <c r="J42" s="314"/>
      <c r="K42" s="314">
        <v>4000</v>
      </c>
      <c r="L42" s="314"/>
      <c r="M42" s="314"/>
      <c r="N42" s="314"/>
      <c r="O42" s="308">
        <f t="shared" si="1"/>
        <v>107377</v>
      </c>
    </row>
    <row r="43" spans="1:15" ht="15.75" thickBot="1">
      <c r="A43" s="145"/>
      <c r="B43" s="146" t="s">
        <v>65</v>
      </c>
      <c r="C43" s="147">
        <f aca="true" t="shared" si="10" ref="C43:N43">SUM(C8+C18+C27+C28+C30+C34)</f>
        <v>41224715</v>
      </c>
      <c r="D43" s="147">
        <f t="shared" si="10"/>
        <v>7220192</v>
      </c>
      <c r="E43" s="147">
        <f t="shared" si="10"/>
        <v>182006</v>
      </c>
      <c r="F43" s="253">
        <f t="shared" si="10"/>
        <v>250476</v>
      </c>
      <c r="G43" s="147">
        <f t="shared" si="10"/>
        <v>194180</v>
      </c>
      <c r="H43" s="147">
        <f t="shared" si="10"/>
        <v>169769</v>
      </c>
      <c r="I43" s="147">
        <f t="shared" si="10"/>
        <v>166444</v>
      </c>
      <c r="J43" s="147">
        <f t="shared" si="10"/>
        <v>835295</v>
      </c>
      <c r="K43" s="147">
        <f t="shared" si="10"/>
        <v>60965</v>
      </c>
      <c r="L43" s="147">
        <f t="shared" si="10"/>
        <v>69274</v>
      </c>
      <c r="M43" s="147">
        <f t="shared" si="10"/>
        <v>56719</v>
      </c>
      <c r="N43" s="147">
        <f t="shared" si="10"/>
        <v>106149</v>
      </c>
      <c r="O43" s="307">
        <f t="shared" si="1"/>
        <v>50536184</v>
      </c>
    </row>
    <row r="44" spans="1:15" ht="15">
      <c r="A44" s="148" t="s">
        <v>576</v>
      </c>
      <c r="B44" s="149" t="s">
        <v>66</v>
      </c>
      <c r="C44" s="476">
        <f>17140410-7201950</f>
        <v>9938460</v>
      </c>
      <c r="D44" s="110"/>
      <c r="E44" s="110"/>
      <c r="F44" s="126"/>
      <c r="G44" s="128"/>
      <c r="H44" s="140"/>
      <c r="I44" s="129"/>
      <c r="J44" s="129"/>
      <c r="K44" s="129"/>
      <c r="L44" s="129"/>
      <c r="M44" s="150"/>
      <c r="N44" s="129"/>
      <c r="O44" s="490">
        <f t="shared" si="1"/>
        <v>9938460</v>
      </c>
    </row>
    <row r="45" spans="1:15" ht="15">
      <c r="A45" s="151"/>
      <c r="B45" s="152" t="s">
        <v>67</v>
      </c>
      <c r="C45" s="153">
        <f aca="true" t="shared" si="11" ref="C45:N45">SUM(C43:C44)</f>
        <v>51163175</v>
      </c>
      <c r="D45" s="154">
        <f t="shared" si="11"/>
        <v>7220192</v>
      </c>
      <c r="E45" s="154">
        <f t="shared" si="11"/>
        <v>182006</v>
      </c>
      <c r="F45" s="155">
        <f t="shared" si="11"/>
        <v>250476</v>
      </c>
      <c r="G45" s="154">
        <f t="shared" si="11"/>
        <v>194180</v>
      </c>
      <c r="H45" s="154">
        <f t="shared" si="11"/>
        <v>169769</v>
      </c>
      <c r="I45" s="154">
        <f t="shared" si="11"/>
        <v>166444</v>
      </c>
      <c r="J45" s="154">
        <f t="shared" si="11"/>
        <v>835295</v>
      </c>
      <c r="K45" s="154">
        <f t="shared" si="11"/>
        <v>60965</v>
      </c>
      <c r="L45" s="154">
        <f t="shared" si="11"/>
        <v>69274</v>
      </c>
      <c r="M45" s="155">
        <f t="shared" si="11"/>
        <v>56719</v>
      </c>
      <c r="N45" s="154">
        <f t="shared" si="11"/>
        <v>106149</v>
      </c>
      <c r="O45" s="491">
        <f t="shared" si="1"/>
        <v>60474644</v>
      </c>
    </row>
    <row r="46" spans="1:15" ht="18" customHeight="1">
      <c r="A46" s="80" t="s">
        <v>375</v>
      </c>
      <c r="B46" s="79" t="s">
        <v>577</v>
      </c>
      <c r="C46" s="477">
        <f>5639829-32894</f>
        <v>5606935</v>
      </c>
      <c r="D46" s="38">
        <v>1424544</v>
      </c>
      <c r="E46" s="38">
        <v>117267</v>
      </c>
      <c r="F46" s="113">
        <v>35099</v>
      </c>
      <c r="G46" s="118">
        <f>175631+23066</f>
        <v>198697</v>
      </c>
      <c r="H46" s="118">
        <v>149905</v>
      </c>
      <c r="I46" s="118">
        <v>143335</v>
      </c>
      <c r="J46" s="130">
        <f>229027+131</f>
        <v>229158</v>
      </c>
      <c r="K46" s="439">
        <f>37490+645</f>
        <v>38135</v>
      </c>
      <c r="L46" s="130">
        <v>16443</v>
      </c>
      <c r="M46" s="133">
        <v>24422</v>
      </c>
      <c r="N46" s="130">
        <v>55424</v>
      </c>
      <c r="O46" s="491">
        <f t="shared" si="1"/>
        <v>8039364</v>
      </c>
    </row>
    <row r="47" spans="1:15" ht="15">
      <c r="A47" s="80" t="s">
        <v>218</v>
      </c>
      <c r="B47" s="90" t="s">
        <v>219</v>
      </c>
      <c r="C47" s="156"/>
      <c r="D47" s="38"/>
      <c r="E47" s="38"/>
      <c r="F47" s="113"/>
      <c r="G47" s="118"/>
      <c r="H47" s="118"/>
      <c r="I47" s="130"/>
      <c r="J47" s="130"/>
      <c r="K47" s="130"/>
      <c r="L47" s="130"/>
      <c r="M47" s="133"/>
      <c r="N47" s="130"/>
      <c r="O47" s="491">
        <f t="shared" si="1"/>
        <v>0</v>
      </c>
    </row>
    <row r="48" spans="1:15" ht="15">
      <c r="A48" s="151"/>
      <c r="B48" s="79" t="s">
        <v>68</v>
      </c>
      <c r="C48" s="153">
        <f>SUM(C45:C46)</f>
        <v>56770110</v>
      </c>
      <c r="D48" s="154">
        <f>SUM(D45:D46)</f>
        <v>8644736</v>
      </c>
      <c r="E48" s="154">
        <f>SUM(E45:E46)</f>
        <v>299273</v>
      </c>
      <c r="F48" s="155">
        <f aca="true" t="shared" si="12" ref="F48:N48">SUM(F45:F47)</f>
        <v>285575</v>
      </c>
      <c r="G48" s="154">
        <f t="shared" si="12"/>
        <v>392877</v>
      </c>
      <c r="H48" s="154">
        <f t="shared" si="12"/>
        <v>319674</v>
      </c>
      <c r="I48" s="154">
        <f t="shared" si="12"/>
        <v>309779</v>
      </c>
      <c r="J48" s="154">
        <f t="shared" si="12"/>
        <v>1064453</v>
      </c>
      <c r="K48" s="154">
        <f t="shared" si="12"/>
        <v>99100</v>
      </c>
      <c r="L48" s="154">
        <f t="shared" si="12"/>
        <v>85717</v>
      </c>
      <c r="M48" s="154">
        <f t="shared" si="12"/>
        <v>81141</v>
      </c>
      <c r="N48" s="154">
        <f t="shared" si="12"/>
        <v>161573</v>
      </c>
      <c r="O48" s="491">
        <f t="shared" si="1"/>
        <v>68514008</v>
      </c>
    </row>
    <row r="49" spans="1:15" ht="15">
      <c r="A49" s="157"/>
      <c r="B49" s="29"/>
      <c r="C49" s="158"/>
      <c r="D49" s="159"/>
      <c r="E49" s="159"/>
      <c r="F49" s="159"/>
      <c r="G49" s="160"/>
      <c r="H49" s="160"/>
      <c r="I49" s="160"/>
      <c r="J49" s="160"/>
      <c r="K49" s="160"/>
      <c r="L49" s="160"/>
      <c r="M49" s="160"/>
      <c r="N49" s="160"/>
      <c r="O49" s="160"/>
    </row>
    <row r="50" spans="1:15" ht="15">
      <c r="A50" s="157"/>
      <c r="B50" s="254"/>
      <c r="C50" s="158"/>
      <c r="D50" s="159"/>
      <c r="E50" s="159"/>
      <c r="F50" s="159"/>
      <c r="G50" s="60"/>
      <c r="H50" s="60"/>
      <c r="I50" s="60"/>
      <c r="J50" s="60"/>
      <c r="K50" s="60"/>
      <c r="L50" s="60"/>
      <c r="M50" s="60"/>
      <c r="N50" s="60"/>
      <c r="O50" s="60"/>
    </row>
    <row r="51" spans="1:15" ht="15">
      <c r="A51" s="157"/>
      <c r="B51" s="254"/>
      <c r="C51" s="315"/>
      <c r="D51" s="315"/>
      <c r="E51" s="315"/>
      <c r="F51" s="315"/>
      <c r="G51" s="315"/>
      <c r="H51" s="315"/>
      <c r="I51" s="315"/>
      <c r="J51" s="315"/>
      <c r="K51" s="315"/>
      <c r="L51" s="315"/>
      <c r="M51" s="315"/>
      <c r="N51" s="315"/>
      <c r="O51" s="315"/>
    </row>
    <row r="52" spans="1:15" ht="15">
      <c r="A52" s="157"/>
      <c r="B52" s="29"/>
      <c r="C52" s="316"/>
      <c r="D52" s="159"/>
      <c r="E52" s="159"/>
      <c r="F52" s="159"/>
      <c r="G52" s="160"/>
      <c r="H52" s="160"/>
      <c r="I52" s="160"/>
      <c r="J52" s="160"/>
      <c r="K52" s="160"/>
      <c r="L52" s="160"/>
      <c r="M52" s="160"/>
      <c r="N52" s="160"/>
      <c r="O52" s="160"/>
    </row>
    <row r="53" spans="2:4" ht="15">
      <c r="B53" s="161" t="s">
        <v>372</v>
      </c>
      <c r="D53" s="96" t="s">
        <v>37</v>
      </c>
    </row>
    <row r="54" ht="15">
      <c r="B54" s="161"/>
    </row>
    <row r="55" ht="15">
      <c r="B55" s="161"/>
    </row>
    <row r="56" spans="1:6" ht="15">
      <c r="A56" s="157"/>
      <c r="B56" s="29"/>
      <c r="D56" s="478"/>
      <c r="E56" s="470" t="s">
        <v>69</v>
      </c>
      <c r="F56" s="470"/>
    </row>
    <row r="57" spans="1:6" ht="15">
      <c r="A57" s="157"/>
      <c r="B57" s="29"/>
      <c r="E57" s="98" t="s">
        <v>26</v>
      </c>
      <c r="F57" s="98"/>
    </row>
    <row r="58" spans="1:6" ht="15">
      <c r="A58" s="162"/>
      <c r="B58" s="163"/>
      <c r="E58" s="98" t="s">
        <v>840</v>
      </c>
      <c r="F58" s="98"/>
    </row>
    <row r="59" spans="1:6" ht="15">
      <c r="A59" s="162"/>
      <c r="B59" s="163"/>
      <c r="E59" s="98"/>
      <c r="F59" s="98"/>
    </row>
    <row r="60" spans="1:4" ht="39.75" customHeight="1" thickBot="1">
      <c r="A60" s="621" t="s">
        <v>578</v>
      </c>
      <c r="B60" s="621"/>
      <c r="C60" s="621"/>
      <c r="D60" s="621"/>
    </row>
    <row r="61" spans="1:15" ht="114" customHeight="1" thickBot="1">
      <c r="A61" s="101" t="s">
        <v>23</v>
      </c>
      <c r="B61" s="102" t="s">
        <v>166</v>
      </c>
      <c r="C61" s="223" t="s">
        <v>559</v>
      </c>
      <c r="D61" s="224" t="s">
        <v>675</v>
      </c>
      <c r="E61" s="103" t="s">
        <v>560</v>
      </c>
      <c r="F61" s="103" t="s">
        <v>561</v>
      </c>
      <c r="G61" s="471" t="s">
        <v>562</v>
      </c>
      <c r="H61" s="471" t="s">
        <v>563</v>
      </c>
      <c r="I61" s="471" t="s">
        <v>564</v>
      </c>
      <c r="J61" s="471" t="s">
        <v>565</v>
      </c>
      <c r="K61" s="471" t="s">
        <v>566</v>
      </c>
      <c r="L61" s="471" t="s">
        <v>567</v>
      </c>
      <c r="M61" s="471" t="s">
        <v>579</v>
      </c>
      <c r="N61" s="472" t="s">
        <v>569</v>
      </c>
      <c r="O61" s="473" t="s">
        <v>570</v>
      </c>
    </row>
    <row r="62" spans="1:15" ht="15.75" thickBot="1">
      <c r="A62" s="164" t="s">
        <v>70</v>
      </c>
      <c r="B62" s="105" t="s">
        <v>71</v>
      </c>
      <c r="C62" s="317">
        <f>C63+C64+C65+C67+C68+C73</f>
        <v>3593308</v>
      </c>
      <c r="D62" s="317">
        <f aca="true" t="shared" si="13" ref="D62:M62">D63+D64+D65+D67+D68+D73</f>
        <v>0</v>
      </c>
      <c r="E62" s="317">
        <f t="shared" si="13"/>
        <v>0</v>
      </c>
      <c r="F62" s="317">
        <f t="shared" si="13"/>
        <v>0</v>
      </c>
      <c r="G62" s="317">
        <f t="shared" si="13"/>
        <v>128818</v>
      </c>
      <c r="H62" s="317">
        <f t="shared" si="13"/>
        <v>183899</v>
      </c>
      <c r="I62" s="317">
        <f t="shared" si="13"/>
        <v>121262</v>
      </c>
      <c r="J62" s="317">
        <f t="shared" si="13"/>
        <v>172742</v>
      </c>
      <c r="K62" s="317">
        <f>K63+K64+K65+K67+K68+K73</f>
        <v>110869</v>
      </c>
      <c r="L62" s="317">
        <f t="shared" si="13"/>
        <v>62107</v>
      </c>
      <c r="M62" s="317">
        <f t="shared" si="13"/>
        <v>74169</v>
      </c>
      <c r="N62" s="317">
        <f>N63+N64+N65+N67+N68+N73</f>
        <v>118764</v>
      </c>
      <c r="O62" s="307">
        <f aca="true" t="shared" si="14" ref="O62:O125">SUM(C62:N62)</f>
        <v>4565938</v>
      </c>
    </row>
    <row r="63" spans="1:15" ht="29.25">
      <c r="A63" s="165" t="s">
        <v>247</v>
      </c>
      <c r="B63" s="166" t="s">
        <v>248</v>
      </c>
      <c r="C63" s="167">
        <f>2659800+14936+1900</f>
        <v>2676636</v>
      </c>
      <c r="D63" s="110"/>
      <c r="E63" s="110"/>
      <c r="F63" s="126"/>
      <c r="G63" s="127">
        <v>127968</v>
      </c>
      <c r="H63" s="205">
        <v>177458</v>
      </c>
      <c r="I63" s="205">
        <v>103152</v>
      </c>
      <c r="J63" s="231">
        <v>162473</v>
      </c>
      <c r="K63" s="205">
        <f>108081-2130</f>
        <v>105951</v>
      </c>
      <c r="L63" s="205">
        <v>61627</v>
      </c>
      <c r="M63" s="205">
        <v>71039</v>
      </c>
      <c r="N63" s="302">
        <v>106210</v>
      </c>
      <c r="O63" s="319">
        <f t="shared" si="14"/>
        <v>3592514</v>
      </c>
    </row>
    <row r="64" spans="1:15" ht="29.25">
      <c r="A64" s="165" t="s">
        <v>438</v>
      </c>
      <c r="B64" s="166" t="s">
        <v>439</v>
      </c>
      <c r="C64" s="167">
        <f>45859-111</f>
        <v>45748</v>
      </c>
      <c r="D64" s="126"/>
      <c r="E64" s="110"/>
      <c r="F64" s="126"/>
      <c r="G64" s="127"/>
      <c r="H64" s="127"/>
      <c r="I64" s="127"/>
      <c r="J64" s="302"/>
      <c r="K64" s="167"/>
      <c r="L64" s="167"/>
      <c r="M64" s="54"/>
      <c r="N64" s="302"/>
      <c r="O64" s="308">
        <f t="shared" si="14"/>
        <v>45748</v>
      </c>
    </row>
    <row r="65" spans="1:15" ht="15">
      <c r="A65" s="169" t="s">
        <v>72</v>
      </c>
      <c r="B65" s="142" t="s">
        <v>73</v>
      </c>
      <c r="C65" s="320">
        <f>SUM(C66:C66)</f>
        <v>158553</v>
      </c>
      <c r="D65" s="170">
        <f>SUM(D66:D66)</f>
        <v>0</v>
      </c>
      <c r="E65" s="54"/>
      <c r="F65" s="170"/>
      <c r="G65" s="54">
        <f aca="true" t="shared" si="15" ref="G65:N65">SUM(G66:G66)</f>
        <v>850</v>
      </c>
      <c r="H65" s="54">
        <f t="shared" si="15"/>
        <v>345</v>
      </c>
      <c r="I65" s="54">
        <f t="shared" si="15"/>
        <v>422</v>
      </c>
      <c r="J65" s="170">
        <f t="shared" si="15"/>
        <v>329</v>
      </c>
      <c r="K65" s="170">
        <f t="shared" si="15"/>
        <v>0</v>
      </c>
      <c r="L65" s="170">
        <f t="shared" si="15"/>
        <v>80</v>
      </c>
      <c r="M65" s="170">
        <f t="shared" si="15"/>
        <v>530</v>
      </c>
      <c r="N65" s="170">
        <f t="shared" si="15"/>
        <v>641</v>
      </c>
      <c r="O65" s="321">
        <f t="shared" si="14"/>
        <v>161750</v>
      </c>
    </row>
    <row r="66" spans="1:15" ht="30">
      <c r="A66" s="171" t="s">
        <v>74</v>
      </c>
      <c r="B66" s="112" t="s">
        <v>75</v>
      </c>
      <c r="C66" s="289">
        <v>158553</v>
      </c>
      <c r="D66" s="38"/>
      <c r="E66" s="38"/>
      <c r="F66" s="113"/>
      <c r="G66" s="130">
        <v>850</v>
      </c>
      <c r="H66" s="118">
        <v>345</v>
      </c>
      <c r="I66" s="118">
        <v>422</v>
      </c>
      <c r="J66" s="130">
        <v>329</v>
      </c>
      <c r="K66" s="130"/>
      <c r="L66" s="130">
        <v>80</v>
      </c>
      <c r="M66" s="130">
        <v>530</v>
      </c>
      <c r="N66" s="130">
        <v>641</v>
      </c>
      <c r="O66" s="321">
        <f t="shared" si="14"/>
        <v>161750</v>
      </c>
    </row>
    <row r="67" spans="1:15" ht="29.25">
      <c r="A67" s="169" t="s">
        <v>249</v>
      </c>
      <c r="B67" s="173" t="s">
        <v>250</v>
      </c>
      <c r="C67" s="289">
        <f>801+1914</f>
        <v>2715</v>
      </c>
      <c r="D67" s="113"/>
      <c r="E67" s="38"/>
      <c r="F67" s="113"/>
      <c r="G67" s="130"/>
      <c r="H67" s="131"/>
      <c r="I67" s="118">
        <v>4500</v>
      </c>
      <c r="J67" s="133"/>
      <c r="K67" s="133"/>
      <c r="L67" s="133"/>
      <c r="M67" s="133"/>
      <c r="N67" s="133"/>
      <c r="O67" s="321">
        <f t="shared" si="14"/>
        <v>7215</v>
      </c>
    </row>
    <row r="68" spans="1:15" ht="29.25">
      <c r="A68" s="169" t="s">
        <v>76</v>
      </c>
      <c r="B68" s="173" t="s">
        <v>77</v>
      </c>
      <c r="C68" s="320">
        <f>SUM(C69:C72)</f>
        <v>709656</v>
      </c>
      <c r="D68" s="320">
        <f aca="true" t="shared" si="16" ref="D68:N68">SUM(D69:D72)</f>
        <v>0</v>
      </c>
      <c r="E68" s="320">
        <f t="shared" si="16"/>
        <v>0</v>
      </c>
      <c r="F68" s="320">
        <f t="shared" si="16"/>
        <v>0</v>
      </c>
      <c r="G68" s="320">
        <f t="shared" si="16"/>
        <v>0</v>
      </c>
      <c r="H68" s="320">
        <f t="shared" si="16"/>
        <v>6096</v>
      </c>
      <c r="I68" s="320">
        <f t="shared" si="16"/>
        <v>13188</v>
      </c>
      <c r="J68" s="320">
        <f t="shared" si="16"/>
        <v>9940</v>
      </c>
      <c r="K68" s="320">
        <f t="shared" si="16"/>
        <v>4918</v>
      </c>
      <c r="L68" s="320">
        <f t="shared" si="16"/>
        <v>400</v>
      </c>
      <c r="M68" s="320">
        <f t="shared" si="16"/>
        <v>2600</v>
      </c>
      <c r="N68" s="320">
        <f t="shared" si="16"/>
        <v>11913</v>
      </c>
      <c r="O68" s="321">
        <f t="shared" si="14"/>
        <v>758711</v>
      </c>
    </row>
    <row r="69" spans="1:15" ht="30">
      <c r="A69" s="175" t="s">
        <v>462</v>
      </c>
      <c r="B69" s="112" t="s">
        <v>78</v>
      </c>
      <c r="C69" s="479">
        <v>500000</v>
      </c>
      <c r="D69" s="38"/>
      <c r="E69" s="38"/>
      <c r="F69" s="113"/>
      <c r="G69" s="131"/>
      <c r="H69" s="131"/>
      <c r="I69" s="131"/>
      <c r="J69" s="130"/>
      <c r="K69" s="130"/>
      <c r="L69" s="130"/>
      <c r="M69" s="130"/>
      <c r="N69" s="133"/>
      <c r="O69" s="321">
        <f t="shared" si="14"/>
        <v>500000</v>
      </c>
    </row>
    <row r="70" spans="1:15" ht="30">
      <c r="A70" s="175" t="s">
        <v>463</v>
      </c>
      <c r="B70" s="112" t="s">
        <v>368</v>
      </c>
      <c r="C70" s="113">
        <v>33000</v>
      </c>
      <c r="D70" s="38"/>
      <c r="E70" s="38"/>
      <c r="F70" s="113"/>
      <c r="G70" s="118"/>
      <c r="H70" s="118">
        <v>6096</v>
      </c>
      <c r="I70" s="118">
        <v>13188</v>
      </c>
      <c r="J70" s="130">
        <v>9940</v>
      </c>
      <c r="K70" s="130">
        <f>3500+1418</f>
        <v>4918</v>
      </c>
      <c r="L70" s="130">
        <v>400</v>
      </c>
      <c r="M70" s="130">
        <v>2600</v>
      </c>
      <c r="N70" s="133">
        <v>11913</v>
      </c>
      <c r="O70" s="321">
        <f t="shared" si="14"/>
        <v>82055</v>
      </c>
    </row>
    <row r="71" spans="1:19" ht="45">
      <c r="A71" s="175" t="s">
        <v>464</v>
      </c>
      <c r="B71" s="120" t="s">
        <v>503</v>
      </c>
      <c r="C71" s="322">
        <v>150000</v>
      </c>
      <c r="D71" s="121"/>
      <c r="E71" s="121"/>
      <c r="F71" s="122"/>
      <c r="G71" s="221"/>
      <c r="H71" s="221"/>
      <c r="I71" s="221"/>
      <c r="J71" s="124"/>
      <c r="K71" s="124"/>
      <c r="L71" s="124"/>
      <c r="M71" s="124"/>
      <c r="N71" s="226"/>
      <c r="O71" s="321">
        <f t="shared" si="14"/>
        <v>150000</v>
      </c>
      <c r="P71" s="97"/>
      <c r="Q71" s="97"/>
      <c r="R71" s="97"/>
      <c r="S71" s="97"/>
    </row>
    <row r="72" spans="1:19" ht="15">
      <c r="A72" s="175" t="s">
        <v>640</v>
      </c>
      <c r="B72" s="234" t="s">
        <v>641</v>
      </c>
      <c r="C72" s="322">
        <f>23014+3642</f>
        <v>26656</v>
      </c>
      <c r="D72" s="121"/>
      <c r="E72" s="121"/>
      <c r="F72" s="122"/>
      <c r="G72" s="221"/>
      <c r="H72" s="221"/>
      <c r="I72" s="221"/>
      <c r="J72" s="124"/>
      <c r="K72" s="124"/>
      <c r="L72" s="124"/>
      <c r="M72" s="124"/>
      <c r="N72" s="226"/>
      <c r="O72" s="321">
        <f t="shared" si="14"/>
        <v>26656</v>
      </c>
      <c r="P72" s="97"/>
      <c r="Q72" s="97"/>
      <c r="R72" s="97"/>
      <c r="S72" s="97"/>
    </row>
    <row r="73" spans="1:19" s="97" customFormat="1" ht="15.75" thickBot="1">
      <c r="A73" s="176" t="s">
        <v>79</v>
      </c>
      <c r="B73" s="177" t="s">
        <v>251</v>
      </c>
      <c r="C73" s="251">
        <f>550000-409952-82576-4595-14900-6000-31977</f>
        <v>0</v>
      </c>
      <c r="D73" s="178"/>
      <c r="E73" s="178"/>
      <c r="F73" s="251"/>
      <c r="G73" s="232"/>
      <c r="H73" s="179"/>
      <c r="I73" s="180"/>
      <c r="J73" s="181"/>
      <c r="K73" s="181"/>
      <c r="L73" s="181"/>
      <c r="M73" s="181"/>
      <c r="N73" s="233"/>
      <c r="O73" s="323">
        <f t="shared" si="14"/>
        <v>0</v>
      </c>
      <c r="P73" s="94"/>
      <c r="Q73" s="94"/>
      <c r="R73" s="94"/>
      <c r="S73" s="94"/>
    </row>
    <row r="74" spans="1:15" ht="15.75" thickBot="1">
      <c r="A74" s="182" t="s">
        <v>80</v>
      </c>
      <c r="B74" s="105" t="s">
        <v>81</v>
      </c>
      <c r="C74" s="317">
        <f>SUM(C75:C76,C78+C79)</f>
        <v>667021</v>
      </c>
      <c r="D74" s="317">
        <f aca="true" t="shared" si="17" ref="D74:N74">SUM(D75:D76,D78+D79)</f>
        <v>0</v>
      </c>
      <c r="E74" s="317">
        <f t="shared" si="17"/>
        <v>0</v>
      </c>
      <c r="F74" s="317">
        <f t="shared" si="17"/>
        <v>0</v>
      </c>
      <c r="G74" s="317">
        <f t="shared" si="17"/>
        <v>12445</v>
      </c>
      <c r="H74" s="317">
        <f t="shared" si="17"/>
        <v>0</v>
      </c>
      <c r="I74" s="317">
        <f t="shared" si="17"/>
        <v>0</v>
      </c>
      <c r="J74" s="317">
        <f t="shared" si="17"/>
        <v>4608</v>
      </c>
      <c r="K74" s="317">
        <f t="shared" si="17"/>
        <v>0</v>
      </c>
      <c r="L74" s="317">
        <f t="shared" si="17"/>
        <v>0</v>
      </c>
      <c r="M74" s="317">
        <f t="shared" si="17"/>
        <v>0</v>
      </c>
      <c r="N74" s="317">
        <f t="shared" si="17"/>
        <v>4208</v>
      </c>
      <c r="O74" s="307">
        <f t="shared" si="14"/>
        <v>688282</v>
      </c>
    </row>
    <row r="75" spans="1:15" ht="15">
      <c r="A75" s="165" t="s">
        <v>252</v>
      </c>
      <c r="B75" s="166" t="s">
        <v>34</v>
      </c>
      <c r="C75" s="324">
        <v>591761</v>
      </c>
      <c r="D75" s="110"/>
      <c r="E75" s="110"/>
      <c r="F75" s="126"/>
      <c r="G75" s="128"/>
      <c r="H75" s="140"/>
      <c r="I75" s="140"/>
      <c r="J75" s="129"/>
      <c r="K75" s="129"/>
      <c r="L75" s="129"/>
      <c r="M75" s="129"/>
      <c r="N75" s="150"/>
      <c r="O75" s="319">
        <f t="shared" si="14"/>
        <v>591761</v>
      </c>
    </row>
    <row r="76" spans="1:15" ht="29.25">
      <c r="A76" s="169" t="s">
        <v>337</v>
      </c>
      <c r="B76" s="142" t="s">
        <v>343</v>
      </c>
      <c r="C76" s="320">
        <f>SUM(C77:C77)</f>
        <v>2980</v>
      </c>
      <c r="D76" s="320">
        <f aca="true" t="shared" si="18" ref="D76:N76">SUM(D77:D77)</f>
        <v>0</v>
      </c>
      <c r="E76" s="320">
        <f t="shared" si="18"/>
        <v>0</v>
      </c>
      <c r="F76" s="320">
        <f t="shared" si="18"/>
        <v>0</v>
      </c>
      <c r="G76" s="320">
        <f t="shared" si="18"/>
        <v>0</v>
      </c>
      <c r="H76" s="320">
        <f t="shared" si="18"/>
        <v>0</v>
      </c>
      <c r="I76" s="320">
        <f t="shared" si="18"/>
        <v>0</v>
      </c>
      <c r="J76" s="320">
        <f t="shared" si="18"/>
        <v>0</v>
      </c>
      <c r="K76" s="320">
        <f t="shared" si="18"/>
        <v>0</v>
      </c>
      <c r="L76" s="320">
        <f t="shared" si="18"/>
        <v>0</v>
      </c>
      <c r="M76" s="320">
        <f t="shared" si="18"/>
        <v>0</v>
      </c>
      <c r="N76" s="320">
        <f t="shared" si="18"/>
        <v>0</v>
      </c>
      <c r="O76" s="308">
        <f t="shared" si="14"/>
        <v>2980</v>
      </c>
    </row>
    <row r="77" spans="1:19" ht="15">
      <c r="A77" s="171" t="s">
        <v>465</v>
      </c>
      <c r="B77" s="255" t="s">
        <v>466</v>
      </c>
      <c r="C77" s="289">
        <v>2980</v>
      </c>
      <c r="D77" s="170"/>
      <c r="E77" s="170"/>
      <c r="F77" s="170"/>
      <c r="G77" s="170"/>
      <c r="H77" s="170"/>
      <c r="I77" s="170"/>
      <c r="J77" s="170"/>
      <c r="K77" s="170"/>
      <c r="L77" s="170"/>
      <c r="M77" s="170"/>
      <c r="N77" s="353"/>
      <c r="O77" s="321">
        <f t="shared" si="14"/>
        <v>2980</v>
      </c>
      <c r="P77" s="97"/>
      <c r="Q77" s="97"/>
      <c r="R77" s="97"/>
      <c r="S77" s="97"/>
    </row>
    <row r="78" spans="1:19" s="97" customFormat="1" ht="29.25">
      <c r="A78" s="176" t="s">
        <v>82</v>
      </c>
      <c r="B78" s="142" t="s">
        <v>253</v>
      </c>
      <c r="C78" s="335">
        <v>53200</v>
      </c>
      <c r="D78" s="54"/>
      <c r="E78" s="54"/>
      <c r="F78" s="170"/>
      <c r="G78" s="480">
        <v>12445</v>
      </c>
      <c r="H78" s="200"/>
      <c r="I78" s="200"/>
      <c r="J78" s="481">
        <v>4608</v>
      </c>
      <c r="K78" s="481"/>
      <c r="L78" s="481"/>
      <c r="M78" s="481"/>
      <c r="N78" s="482">
        <v>4208</v>
      </c>
      <c r="O78" s="321">
        <f t="shared" si="14"/>
        <v>74461</v>
      </c>
      <c r="P78" s="94"/>
      <c r="Q78" s="94"/>
      <c r="R78" s="94"/>
      <c r="S78" s="94"/>
    </row>
    <row r="79" spans="1:19" s="97" customFormat="1" ht="15.75" thickBot="1">
      <c r="A79" s="176" t="s">
        <v>580</v>
      </c>
      <c r="B79" s="475" t="s">
        <v>581</v>
      </c>
      <c r="C79" s="374">
        <f>10000+4340+4740</f>
        <v>19080</v>
      </c>
      <c r="D79" s="290"/>
      <c r="E79" s="290"/>
      <c r="F79" s="290"/>
      <c r="G79" s="483"/>
      <c r="H79" s="484"/>
      <c r="I79" s="484"/>
      <c r="J79" s="485"/>
      <c r="K79" s="485"/>
      <c r="L79" s="485"/>
      <c r="M79" s="485"/>
      <c r="N79" s="485"/>
      <c r="O79" s="323">
        <f t="shared" si="14"/>
        <v>19080</v>
      </c>
      <c r="P79" s="94"/>
      <c r="Q79" s="94"/>
      <c r="R79" s="94"/>
      <c r="S79" s="94"/>
    </row>
    <row r="80" spans="1:15" ht="15.75" thickBot="1">
      <c r="A80" s="182" t="s">
        <v>9</v>
      </c>
      <c r="B80" s="105" t="s">
        <v>83</v>
      </c>
      <c r="C80" s="317">
        <f aca="true" t="shared" si="19" ref="C80:N80">SUM(C81,C89,C92:C94,C105,C107)</f>
        <v>9872973</v>
      </c>
      <c r="D80" s="317">
        <f t="shared" si="19"/>
        <v>197208</v>
      </c>
      <c r="E80" s="317">
        <f t="shared" si="19"/>
        <v>0</v>
      </c>
      <c r="F80" s="317">
        <f t="shared" si="19"/>
        <v>0</v>
      </c>
      <c r="G80" s="317">
        <f t="shared" si="19"/>
        <v>67533</v>
      </c>
      <c r="H80" s="317">
        <f t="shared" si="19"/>
        <v>15605</v>
      </c>
      <c r="I80" s="317">
        <f t="shared" si="19"/>
        <v>30421</v>
      </c>
      <c r="J80" s="317">
        <f t="shared" si="19"/>
        <v>52825</v>
      </c>
      <c r="K80" s="317">
        <f t="shared" si="19"/>
        <v>1382</v>
      </c>
      <c r="L80" s="317">
        <f t="shared" si="19"/>
        <v>0</v>
      </c>
      <c r="M80" s="317">
        <f t="shared" si="19"/>
        <v>1700</v>
      </c>
      <c r="N80" s="317">
        <f t="shared" si="19"/>
        <v>612</v>
      </c>
      <c r="O80" s="307">
        <f t="shared" si="14"/>
        <v>10240259</v>
      </c>
    </row>
    <row r="81" spans="1:15" ht="15">
      <c r="A81" s="165" t="s">
        <v>84</v>
      </c>
      <c r="B81" s="185" t="s">
        <v>85</v>
      </c>
      <c r="C81" s="318">
        <f aca="true" t="shared" si="20" ref="C81:N81">SUM(C82:C88)</f>
        <v>212227</v>
      </c>
      <c r="D81" s="318">
        <f t="shared" si="20"/>
        <v>0</v>
      </c>
      <c r="E81" s="318">
        <f t="shared" si="20"/>
        <v>0</v>
      </c>
      <c r="F81" s="318">
        <f t="shared" si="20"/>
        <v>0</v>
      </c>
      <c r="G81" s="318">
        <f t="shared" si="20"/>
        <v>0</v>
      </c>
      <c r="H81" s="318">
        <f t="shared" si="20"/>
        <v>0</v>
      </c>
      <c r="I81" s="318">
        <f t="shared" si="20"/>
        <v>606</v>
      </c>
      <c r="J81" s="318">
        <f t="shared" si="20"/>
        <v>0</v>
      </c>
      <c r="K81" s="318">
        <f t="shared" si="20"/>
        <v>0</v>
      </c>
      <c r="L81" s="318">
        <f t="shared" si="20"/>
        <v>0</v>
      </c>
      <c r="M81" s="318">
        <f t="shared" si="20"/>
        <v>0</v>
      </c>
      <c r="N81" s="318">
        <f t="shared" si="20"/>
        <v>0</v>
      </c>
      <c r="O81" s="319">
        <f t="shared" si="14"/>
        <v>212833</v>
      </c>
    </row>
    <row r="82" spans="1:15" ht="15">
      <c r="A82" s="186" t="s">
        <v>254</v>
      </c>
      <c r="B82" s="129" t="s">
        <v>255</v>
      </c>
      <c r="C82" s="324">
        <f>10000-262-1939</f>
        <v>7799</v>
      </c>
      <c r="D82" s="110"/>
      <c r="E82" s="110"/>
      <c r="F82" s="126"/>
      <c r="G82" s="140"/>
      <c r="H82" s="140"/>
      <c r="I82" s="128">
        <v>606</v>
      </c>
      <c r="J82" s="129"/>
      <c r="K82" s="129"/>
      <c r="L82" s="129"/>
      <c r="M82" s="129"/>
      <c r="N82" s="150"/>
      <c r="O82" s="326">
        <f t="shared" si="14"/>
        <v>8405</v>
      </c>
    </row>
    <row r="83" spans="1:15" ht="45">
      <c r="A83" s="186" t="s">
        <v>467</v>
      </c>
      <c r="B83" s="188" t="s">
        <v>582</v>
      </c>
      <c r="C83" s="324">
        <f>40930+12100+24000-8638</f>
        <v>68392</v>
      </c>
      <c r="D83" s="110"/>
      <c r="E83" s="110"/>
      <c r="F83" s="126"/>
      <c r="G83" s="140"/>
      <c r="H83" s="140"/>
      <c r="I83" s="140"/>
      <c r="J83" s="129"/>
      <c r="K83" s="129"/>
      <c r="L83" s="129"/>
      <c r="M83" s="129"/>
      <c r="N83" s="327"/>
      <c r="O83" s="328">
        <f t="shared" si="14"/>
        <v>68392</v>
      </c>
    </row>
    <row r="84" spans="1:15" ht="15">
      <c r="A84" s="186" t="s">
        <v>468</v>
      </c>
      <c r="B84" s="246" t="s">
        <v>433</v>
      </c>
      <c r="C84" s="324">
        <v>5000</v>
      </c>
      <c r="D84" s="110"/>
      <c r="E84" s="110"/>
      <c r="F84" s="126"/>
      <c r="G84" s="140"/>
      <c r="H84" s="140"/>
      <c r="I84" s="140"/>
      <c r="J84" s="129"/>
      <c r="K84" s="129"/>
      <c r="L84" s="129"/>
      <c r="M84" s="129"/>
      <c r="N84" s="327"/>
      <c r="O84" s="328">
        <f t="shared" si="14"/>
        <v>5000</v>
      </c>
    </row>
    <row r="85" spans="1:15" ht="30">
      <c r="A85" s="186" t="s">
        <v>384</v>
      </c>
      <c r="B85" s="256" t="s">
        <v>539</v>
      </c>
      <c r="C85" s="324">
        <v>0</v>
      </c>
      <c r="D85" s="110"/>
      <c r="E85" s="110"/>
      <c r="F85" s="126"/>
      <c r="G85" s="140"/>
      <c r="H85" s="140"/>
      <c r="I85" s="140"/>
      <c r="J85" s="129"/>
      <c r="K85" s="129"/>
      <c r="L85" s="129"/>
      <c r="M85" s="129"/>
      <c r="N85" s="150"/>
      <c r="O85" s="328">
        <f t="shared" si="14"/>
        <v>0</v>
      </c>
    </row>
    <row r="86" spans="1:15" ht="15">
      <c r="A86" s="186" t="s">
        <v>583</v>
      </c>
      <c r="B86" s="256" t="s">
        <v>584</v>
      </c>
      <c r="C86" s="324">
        <v>100000</v>
      </c>
      <c r="D86" s="110"/>
      <c r="E86" s="110"/>
      <c r="F86" s="126"/>
      <c r="G86" s="140"/>
      <c r="H86" s="140"/>
      <c r="I86" s="140"/>
      <c r="J86" s="129"/>
      <c r="K86" s="129"/>
      <c r="L86" s="129"/>
      <c r="M86" s="129"/>
      <c r="N86" s="150"/>
      <c r="O86" s="328">
        <f t="shared" si="14"/>
        <v>100000</v>
      </c>
    </row>
    <row r="87" spans="1:15" ht="30">
      <c r="A87" s="186" t="s">
        <v>660</v>
      </c>
      <c r="B87" s="234" t="s">
        <v>697</v>
      </c>
      <c r="C87" s="324">
        <f>21120+116</f>
        <v>21236</v>
      </c>
      <c r="D87" s="126"/>
      <c r="E87" s="126"/>
      <c r="F87" s="126"/>
      <c r="G87" s="192"/>
      <c r="H87" s="192"/>
      <c r="I87" s="192"/>
      <c r="J87" s="150"/>
      <c r="K87" s="150"/>
      <c r="L87" s="150"/>
      <c r="M87" s="150"/>
      <c r="N87" s="150"/>
      <c r="O87" s="328">
        <f t="shared" si="14"/>
        <v>21236</v>
      </c>
    </row>
    <row r="88" spans="1:15" ht="15">
      <c r="A88" s="186" t="s">
        <v>695</v>
      </c>
      <c r="B88" s="234" t="s">
        <v>696</v>
      </c>
      <c r="C88" s="324">
        <v>9800</v>
      </c>
      <c r="D88" s="126"/>
      <c r="E88" s="126"/>
      <c r="F88" s="126"/>
      <c r="G88" s="192"/>
      <c r="H88" s="192"/>
      <c r="I88" s="192"/>
      <c r="J88" s="150"/>
      <c r="K88" s="150"/>
      <c r="L88" s="150"/>
      <c r="M88" s="150"/>
      <c r="N88" s="150"/>
      <c r="O88" s="328">
        <f t="shared" si="14"/>
        <v>9800</v>
      </c>
    </row>
    <row r="89" spans="1:15" ht="15">
      <c r="A89" s="169" t="s">
        <v>86</v>
      </c>
      <c r="B89" s="142" t="s">
        <v>256</v>
      </c>
      <c r="C89" s="320">
        <f>SUM(C90:C91)</f>
        <v>3643339</v>
      </c>
      <c r="D89" s="320">
        <f aca="true" t="shared" si="21" ref="D89:N89">SUM(D90:D91)</f>
        <v>0</v>
      </c>
      <c r="E89" s="320">
        <f t="shared" si="21"/>
        <v>0</v>
      </c>
      <c r="F89" s="320">
        <f t="shared" si="21"/>
        <v>0</v>
      </c>
      <c r="G89" s="320">
        <f t="shared" si="21"/>
        <v>0</v>
      </c>
      <c r="H89" s="320">
        <f t="shared" si="21"/>
        <v>0</v>
      </c>
      <c r="I89" s="320">
        <f t="shared" si="21"/>
        <v>0</v>
      </c>
      <c r="J89" s="320">
        <f t="shared" si="21"/>
        <v>0</v>
      </c>
      <c r="K89" s="320">
        <f t="shared" si="21"/>
        <v>0</v>
      </c>
      <c r="L89" s="320">
        <f t="shared" si="21"/>
        <v>0</v>
      </c>
      <c r="M89" s="320">
        <f t="shared" si="21"/>
        <v>1700</v>
      </c>
      <c r="N89" s="320">
        <f t="shared" si="21"/>
        <v>0</v>
      </c>
      <c r="O89" s="321">
        <f t="shared" si="14"/>
        <v>3645039</v>
      </c>
    </row>
    <row r="90" spans="1:15" ht="15">
      <c r="A90" s="186" t="s">
        <v>385</v>
      </c>
      <c r="B90" s="257" t="s">
        <v>502</v>
      </c>
      <c r="C90" s="318"/>
      <c r="D90" s="54"/>
      <c r="E90" s="54"/>
      <c r="F90" s="170"/>
      <c r="G90" s="131"/>
      <c r="H90" s="131"/>
      <c r="I90" s="131"/>
      <c r="J90" s="130"/>
      <c r="K90" s="130"/>
      <c r="L90" s="130"/>
      <c r="M90" s="130">
        <v>1700</v>
      </c>
      <c r="N90" s="133"/>
      <c r="O90" s="328">
        <f t="shared" si="14"/>
        <v>1700</v>
      </c>
    </row>
    <row r="91" spans="1:15" ht="75">
      <c r="A91" s="186" t="s">
        <v>386</v>
      </c>
      <c r="B91" s="257" t="s">
        <v>469</v>
      </c>
      <c r="C91" s="324">
        <f>4466118-822779</f>
        <v>3643339</v>
      </c>
      <c r="D91" s="54"/>
      <c r="E91" s="54"/>
      <c r="F91" s="170"/>
      <c r="G91" s="131"/>
      <c r="H91" s="131"/>
      <c r="I91" s="131"/>
      <c r="J91" s="130"/>
      <c r="K91" s="130"/>
      <c r="L91" s="130"/>
      <c r="M91" s="130"/>
      <c r="N91" s="133"/>
      <c r="O91" s="328">
        <f t="shared" si="14"/>
        <v>3643339</v>
      </c>
    </row>
    <row r="92" spans="1:15" ht="15">
      <c r="A92" s="165" t="s">
        <v>87</v>
      </c>
      <c r="B92" s="166" t="s">
        <v>88</v>
      </c>
      <c r="C92" s="318"/>
      <c r="D92" s="38"/>
      <c r="E92" s="38"/>
      <c r="F92" s="113"/>
      <c r="G92" s="131"/>
      <c r="H92" s="131"/>
      <c r="I92" s="131"/>
      <c r="J92" s="130">
        <v>0</v>
      </c>
      <c r="K92" s="130">
        <f>5000-3618</f>
        <v>1382</v>
      </c>
      <c r="L92" s="130"/>
      <c r="M92" s="130"/>
      <c r="N92" s="133"/>
      <c r="O92" s="321">
        <f t="shared" si="14"/>
        <v>1382</v>
      </c>
    </row>
    <row r="93" spans="1:15" ht="15">
      <c r="A93" s="165" t="s">
        <v>470</v>
      </c>
      <c r="B93" s="166" t="s">
        <v>181</v>
      </c>
      <c r="C93" s="318">
        <v>303880</v>
      </c>
      <c r="D93" s="113"/>
      <c r="E93" s="38"/>
      <c r="F93" s="113"/>
      <c r="G93" s="131"/>
      <c r="H93" s="131"/>
      <c r="I93" s="131"/>
      <c r="J93" s="130">
        <v>1204</v>
      </c>
      <c r="K93" s="133"/>
      <c r="L93" s="133"/>
      <c r="M93" s="133"/>
      <c r="N93" s="133"/>
      <c r="O93" s="321">
        <f t="shared" si="14"/>
        <v>305084</v>
      </c>
    </row>
    <row r="94" spans="1:15" ht="15">
      <c r="A94" s="169" t="s">
        <v>89</v>
      </c>
      <c r="B94" s="142" t="s">
        <v>90</v>
      </c>
      <c r="C94" s="320">
        <f>SUM(C95:C104)</f>
        <v>5684544</v>
      </c>
      <c r="D94" s="320">
        <f aca="true" t="shared" si="22" ref="D94:N94">SUM(D95:D104)</f>
        <v>197208</v>
      </c>
      <c r="E94" s="320">
        <f t="shared" si="22"/>
        <v>0</v>
      </c>
      <c r="F94" s="320">
        <f t="shared" si="22"/>
        <v>0</v>
      </c>
      <c r="G94" s="320">
        <f t="shared" si="22"/>
        <v>67533</v>
      </c>
      <c r="H94" s="320">
        <f t="shared" si="22"/>
        <v>15605</v>
      </c>
      <c r="I94" s="320">
        <f t="shared" si="22"/>
        <v>29815</v>
      </c>
      <c r="J94" s="320">
        <f t="shared" si="22"/>
        <v>51621</v>
      </c>
      <c r="K94" s="320">
        <f t="shared" si="22"/>
        <v>0</v>
      </c>
      <c r="L94" s="320">
        <f t="shared" si="22"/>
        <v>0</v>
      </c>
      <c r="M94" s="320">
        <f t="shared" si="22"/>
        <v>0</v>
      </c>
      <c r="N94" s="320">
        <f t="shared" si="22"/>
        <v>612</v>
      </c>
      <c r="O94" s="321">
        <f t="shared" si="14"/>
        <v>6046938</v>
      </c>
    </row>
    <row r="95" spans="1:15" ht="15">
      <c r="A95" s="171" t="s">
        <v>530</v>
      </c>
      <c r="B95" s="112" t="s">
        <v>91</v>
      </c>
      <c r="C95" s="113">
        <f>689828-92-15539</f>
        <v>674197</v>
      </c>
      <c r="D95" s="38">
        <f>45459+5527</f>
        <v>50986</v>
      </c>
      <c r="E95" s="38"/>
      <c r="F95" s="113"/>
      <c r="G95" s="118"/>
      <c r="H95" s="131"/>
      <c r="I95" s="118">
        <v>17361</v>
      </c>
      <c r="J95" s="130"/>
      <c r="K95" s="130"/>
      <c r="L95" s="130"/>
      <c r="M95" s="130"/>
      <c r="N95" s="133"/>
      <c r="O95" s="321">
        <f t="shared" si="14"/>
        <v>742544</v>
      </c>
    </row>
    <row r="96" spans="1:15" ht="15">
      <c r="A96" s="171" t="s">
        <v>585</v>
      </c>
      <c r="B96" s="112" t="s">
        <v>586</v>
      </c>
      <c r="C96" s="113">
        <v>3009875</v>
      </c>
      <c r="D96" s="38"/>
      <c r="E96" s="38"/>
      <c r="F96" s="113"/>
      <c r="G96" s="118"/>
      <c r="H96" s="131"/>
      <c r="I96" s="118"/>
      <c r="J96" s="130"/>
      <c r="K96" s="130"/>
      <c r="L96" s="130"/>
      <c r="M96" s="130"/>
      <c r="N96" s="133"/>
      <c r="O96" s="321">
        <f t="shared" si="14"/>
        <v>3009875</v>
      </c>
    </row>
    <row r="97" spans="1:15" ht="15">
      <c r="A97" s="171" t="s">
        <v>587</v>
      </c>
      <c r="B97" s="112" t="s">
        <v>588</v>
      </c>
      <c r="C97" s="113">
        <f>956915-701804-392</f>
        <v>254719</v>
      </c>
      <c r="D97" s="38"/>
      <c r="E97" s="38"/>
      <c r="F97" s="113"/>
      <c r="G97" s="118"/>
      <c r="H97" s="131"/>
      <c r="I97" s="118"/>
      <c r="J97" s="130"/>
      <c r="K97" s="130"/>
      <c r="L97" s="130"/>
      <c r="M97" s="130"/>
      <c r="N97" s="133"/>
      <c r="O97" s="321">
        <f t="shared" si="14"/>
        <v>254719</v>
      </c>
    </row>
    <row r="98" spans="1:15" ht="30">
      <c r="A98" s="171" t="s">
        <v>589</v>
      </c>
      <c r="B98" s="112" t="s">
        <v>590</v>
      </c>
      <c r="C98" s="113">
        <f>39483+11150</f>
        <v>50633</v>
      </c>
      <c r="D98" s="38"/>
      <c r="E98" s="38"/>
      <c r="F98" s="113"/>
      <c r="G98" s="118"/>
      <c r="H98" s="131"/>
      <c r="I98" s="118"/>
      <c r="J98" s="130"/>
      <c r="K98" s="130"/>
      <c r="L98" s="130"/>
      <c r="M98" s="130"/>
      <c r="N98" s="133"/>
      <c r="O98" s="321">
        <f t="shared" si="14"/>
        <v>50633</v>
      </c>
    </row>
    <row r="99" spans="1:15" ht="30">
      <c r="A99" s="171" t="s">
        <v>591</v>
      </c>
      <c r="B99" s="112" t="s">
        <v>592</v>
      </c>
      <c r="C99" s="113">
        <v>36300</v>
      </c>
      <c r="D99" s="38"/>
      <c r="E99" s="38"/>
      <c r="F99" s="113"/>
      <c r="G99" s="118"/>
      <c r="H99" s="131"/>
      <c r="I99" s="118"/>
      <c r="J99" s="130"/>
      <c r="K99" s="130"/>
      <c r="L99" s="130"/>
      <c r="M99" s="130"/>
      <c r="N99" s="133"/>
      <c r="O99" s="321">
        <f t="shared" si="14"/>
        <v>36300</v>
      </c>
    </row>
    <row r="100" spans="1:15" ht="15">
      <c r="A100" s="171" t="s">
        <v>258</v>
      </c>
      <c r="B100" s="188" t="s">
        <v>259</v>
      </c>
      <c r="C100" s="289"/>
      <c r="D100" s="38">
        <v>146222</v>
      </c>
      <c r="E100" s="38"/>
      <c r="F100" s="113"/>
      <c r="G100" s="118">
        <v>67533</v>
      </c>
      <c r="H100" s="118">
        <v>15605</v>
      </c>
      <c r="I100" s="118">
        <v>12454</v>
      </c>
      <c r="J100" s="130">
        <v>51621</v>
      </c>
      <c r="K100" s="130"/>
      <c r="L100" s="130"/>
      <c r="M100" s="130"/>
      <c r="N100" s="133">
        <v>612</v>
      </c>
      <c r="O100" s="321">
        <f t="shared" si="14"/>
        <v>294047</v>
      </c>
    </row>
    <row r="101" spans="1:15" ht="30">
      <c r="A101" s="171" t="s">
        <v>338</v>
      </c>
      <c r="B101" s="188" t="s">
        <v>471</v>
      </c>
      <c r="C101" s="113"/>
      <c r="D101" s="38"/>
      <c r="E101" s="38"/>
      <c r="F101" s="113"/>
      <c r="G101" s="130"/>
      <c r="H101" s="131"/>
      <c r="I101" s="131"/>
      <c r="J101" s="133"/>
      <c r="K101" s="133"/>
      <c r="L101" s="133"/>
      <c r="M101" s="133"/>
      <c r="N101" s="133"/>
      <c r="O101" s="321">
        <f t="shared" si="14"/>
        <v>0</v>
      </c>
    </row>
    <row r="102" spans="1:15" ht="30">
      <c r="A102" s="171" t="s">
        <v>387</v>
      </c>
      <c r="B102" s="188" t="s">
        <v>388</v>
      </c>
      <c r="C102" s="289">
        <f>500000-440078</f>
        <v>59922</v>
      </c>
      <c r="D102" s="38"/>
      <c r="E102" s="38"/>
      <c r="F102" s="113"/>
      <c r="G102" s="130"/>
      <c r="H102" s="131"/>
      <c r="I102" s="131"/>
      <c r="J102" s="133"/>
      <c r="K102" s="133"/>
      <c r="L102" s="133"/>
      <c r="M102" s="133"/>
      <c r="N102" s="133"/>
      <c r="O102" s="321">
        <f t="shared" si="14"/>
        <v>59922</v>
      </c>
    </row>
    <row r="103" spans="1:15" ht="30">
      <c r="A103" s="171" t="s">
        <v>440</v>
      </c>
      <c r="B103" s="188" t="s">
        <v>593</v>
      </c>
      <c r="C103" s="289">
        <v>1598898</v>
      </c>
      <c r="D103" s="38"/>
      <c r="E103" s="38"/>
      <c r="F103" s="113"/>
      <c r="G103" s="130"/>
      <c r="H103" s="131"/>
      <c r="I103" s="131"/>
      <c r="J103" s="133"/>
      <c r="K103" s="133"/>
      <c r="L103" s="133"/>
      <c r="M103" s="133"/>
      <c r="N103" s="133"/>
      <c r="O103" s="321">
        <f t="shared" si="14"/>
        <v>1598898</v>
      </c>
    </row>
    <row r="104" spans="1:15" ht="45">
      <c r="A104" s="171" t="s">
        <v>556</v>
      </c>
      <c r="B104" s="188" t="s">
        <v>594</v>
      </c>
      <c r="C104" s="289"/>
      <c r="D104" s="38"/>
      <c r="E104" s="38"/>
      <c r="F104" s="113"/>
      <c r="G104" s="130"/>
      <c r="H104" s="131"/>
      <c r="I104" s="131"/>
      <c r="J104" s="133"/>
      <c r="K104" s="133"/>
      <c r="L104" s="133"/>
      <c r="M104" s="133"/>
      <c r="N104" s="133"/>
      <c r="O104" s="321">
        <f t="shared" si="14"/>
        <v>0</v>
      </c>
    </row>
    <row r="105" spans="1:15" ht="15">
      <c r="A105" s="169" t="s">
        <v>92</v>
      </c>
      <c r="B105" s="173" t="s">
        <v>93</v>
      </c>
      <c r="C105" s="320">
        <f>SUM(C106:C106)</f>
        <v>0</v>
      </c>
      <c r="D105" s="38"/>
      <c r="E105" s="38"/>
      <c r="F105" s="113"/>
      <c r="G105" s="54">
        <f aca="true" t="shared" si="23" ref="G105:N105">SUM(G106:G106)</f>
        <v>0</v>
      </c>
      <c r="H105" s="54">
        <f t="shared" si="23"/>
        <v>0</v>
      </c>
      <c r="I105" s="54">
        <f>SUM(I106:I106)</f>
        <v>0</v>
      </c>
      <c r="J105" s="170">
        <f t="shared" si="23"/>
        <v>0</v>
      </c>
      <c r="K105" s="170">
        <f t="shared" si="23"/>
        <v>0</v>
      </c>
      <c r="L105" s="170">
        <f t="shared" si="23"/>
        <v>0</v>
      </c>
      <c r="M105" s="170">
        <f t="shared" si="23"/>
        <v>0</v>
      </c>
      <c r="N105" s="170">
        <f t="shared" si="23"/>
        <v>0</v>
      </c>
      <c r="O105" s="321">
        <f t="shared" si="14"/>
        <v>0</v>
      </c>
    </row>
    <row r="106" spans="1:15" ht="15">
      <c r="A106" s="171" t="s">
        <v>260</v>
      </c>
      <c r="B106" s="112" t="s">
        <v>350</v>
      </c>
      <c r="C106" s="289"/>
      <c r="D106" s="38"/>
      <c r="E106" s="38"/>
      <c r="F106" s="113"/>
      <c r="G106" s="130"/>
      <c r="H106" s="131"/>
      <c r="I106" s="131"/>
      <c r="J106" s="130"/>
      <c r="K106" s="130"/>
      <c r="L106" s="130"/>
      <c r="M106" s="130"/>
      <c r="N106" s="133"/>
      <c r="O106" s="321">
        <f t="shared" si="14"/>
        <v>0</v>
      </c>
    </row>
    <row r="107" spans="1:15" ht="15.75" thickBot="1">
      <c r="A107" s="498" t="s">
        <v>637</v>
      </c>
      <c r="B107" s="475" t="s">
        <v>638</v>
      </c>
      <c r="C107" s="325">
        <v>28983</v>
      </c>
      <c r="D107" s="144"/>
      <c r="E107" s="144"/>
      <c r="F107" s="144"/>
      <c r="G107" s="194"/>
      <c r="H107" s="293"/>
      <c r="I107" s="293"/>
      <c r="J107" s="194"/>
      <c r="K107" s="194"/>
      <c r="L107" s="194"/>
      <c r="M107" s="194"/>
      <c r="N107" s="194"/>
      <c r="O107" s="321">
        <f t="shared" si="14"/>
        <v>28983</v>
      </c>
    </row>
    <row r="108" spans="1:15" ht="15.75" thickBot="1">
      <c r="A108" s="182" t="s">
        <v>32</v>
      </c>
      <c r="B108" s="189" t="s">
        <v>94</v>
      </c>
      <c r="C108" s="317">
        <f>C109+C112+C115+C120</f>
        <v>3627840</v>
      </c>
      <c r="D108" s="125">
        <f aca="true" t="shared" si="24" ref="D108:N108">D109+D112+D115+D120</f>
        <v>702323</v>
      </c>
      <c r="E108" s="125">
        <f t="shared" si="24"/>
        <v>0</v>
      </c>
      <c r="F108" s="125">
        <f t="shared" si="24"/>
        <v>97137</v>
      </c>
      <c r="G108" s="125">
        <f t="shared" si="24"/>
        <v>0</v>
      </c>
      <c r="H108" s="125">
        <f t="shared" si="24"/>
        <v>27050</v>
      </c>
      <c r="I108" s="125">
        <f t="shared" si="24"/>
        <v>22248</v>
      </c>
      <c r="J108" s="125">
        <f t="shared" si="24"/>
        <v>59537</v>
      </c>
      <c r="K108" s="125">
        <f t="shared" si="24"/>
        <v>5531</v>
      </c>
      <c r="L108" s="125">
        <f t="shared" si="24"/>
        <v>10873</v>
      </c>
      <c r="M108" s="125">
        <f t="shared" si="24"/>
        <v>0</v>
      </c>
      <c r="N108" s="125">
        <f t="shared" si="24"/>
        <v>17035</v>
      </c>
      <c r="O108" s="307">
        <f t="shared" si="14"/>
        <v>4569574</v>
      </c>
    </row>
    <row r="109" spans="1:15" ht="15">
      <c r="A109" s="165" t="s">
        <v>95</v>
      </c>
      <c r="B109" s="190" t="s">
        <v>96</v>
      </c>
      <c r="C109" s="318">
        <f>SUM(C110:C111)</f>
        <v>27975</v>
      </c>
      <c r="D109" s="167">
        <f aca="true" t="shared" si="25" ref="D109:N109">SUM(D110:D111)</f>
        <v>296313</v>
      </c>
      <c r="E109" s="167">
        <f t="shared" si="25"/>
        <v>0</v>
      </c>
      <c r="F109" s="167">
        <f t="shared" si="25"/>
        <v>28291</v>
      </c>
      <c r="G109" s="167">
        <f t="shared" si="25"/>
        <v>0</v>
      </c>
      <c r="H109" s="167">
        <f t="shared" si="25"/>
        <v>9050</v>
      </c>
      <c r="I109" s="167">
        <f t="shared" si="25"/>
        <v>22248</v>
      </c>
      <c r="J109" s="167">
        <f t="shared" si="25"/>
        <v>26462</v>
      </c>
      <c r="K109" s="167">
        <f t="shared" si="25"/>
        <v>0</v>
      </c>
      <c r="L109" s="167">
        <f t="shared" si="25"/>
        <v>5465</v>
      </c>
      <c r="M109" s="167">
        <f t="shared" si="25"/>
        <v>0</v>
      </c>
      <c r="N109" s="167">
        <f t="shared" si="25"/>
        <v>4752</v>
      </c>
      <c r="O109" s="329">
        <f t="shared" si="14"/>
        <v>420556</v>
      </c>
    </row>
    <row r="110" spans="1:15" ht="30">
      <c r="A110" s="171" t="s">
        <v>261</v>
      </c>
      <c r="B110" s="112" t="s">
        <v>501</v>
      </c>
      <c r="C110" s="289">
        <f>24790-16417</f>
        <v>8373</v>
      </c>
      <c r="D110" s="38">
        <v>296313</v>
      </c>
      <c r="E110" s="38"/>
      <c r="F110" s="113">
        <v>28291</v>
      </c>
      <c r="G110" s="118"/>
      <c r="H110" s="118">
        <v>9050</v>
      </c>
      <c r="I110" s="118">
        <v>22248</v>
      </c>
      <c r="J110" s="130">
        <v>26462</v>
      </c>
      <c r="K110" s="130"/>
      <c r="L110" s="130">
        <v>5465</v>
      </c>
      <c r="M110" s="130"/>
      <c r="N110" s="133">
        <v>4752</v>
      </c>
      <c r="O110" s="321">
        <f t="shared" si="14"/>
        <v>400954</v>
      </c>
    </row>
    <row r="111" spans="1:15" ht="15">
      <c r="A111" s="171" t="s">
        <v>389</v>
      </c>
      <c r="B111" s="255" t="s">
        <v>390</v>
      </c>
      <c r="C111" s="289">
        <v>19602</v>
      </c>
      <c r="D111" s="113"/>
      <c r="E111" s="113"/>
      <c r="F111" s="113"/>
      <c r="G111" s="118"/>
      <c r="H111" s="131"/>
      <c r="I111" s="131"/>
      <c r="J111" s="133"/>
      <c r="K111" s="133"/>
      <c r="L111" s="133"/>
      <c r="M111" s="133"/>
      <c r="N111" s="133"/>
      <c r="O111" s="321">
        <f t="shared" si="14"/>
        <v>19602</v>
      </c>
    </row>
    <row r="112" spans="1:15" ht="15">
      <c r="A112" s="169" t="s">
        <v>11</v>
      </c>
      <c r="B112" s="173" t="s">
        <v>97</v>
      </c>
      <c r="C112" s="320">
        <f>SUM(C113:C114)</f>
        <v>0</v>
      </c>
      <c r="D112" s="170">
        <f>SUM(D113:D114)</f>
        <v>406010</v>
      </c>
      <c r="E112" s="170">
        <f>SUM(E113:E114)</f>
        <v>0</v>
      </c>
      <c r="F112" s="170">
        <f>SUM(F113:F114)</f>
        <v>68846</v>
      </c>
      <c r="G112" s="54">
        <f aca="true" t="shared" si="26" ref="G112:N112">SUM(G113:G114)</f>
        <v>0</v>
      </c>
      <c r="H112" s="54">
        <f t="shared" si="26"/>
        <v>18000</v>
      </c>
      <c r="I112" s="54">
        <f t="shared" si="26"/>
        <v>0</v>
      </c>
      <c r="J112" s="170">
        <f t="shared" si="26"/>
        <v>33075</v>
      </c>
      <c r="K112" s="170">
        <f t="shared" si="26"/>
        <v>5531</v>
      </c>
      <c r="L112" s="170">
        <f t="shared" si="26"/>
        <v>5408</v>
      </c>
      <c r="M112" s="170">
        <f t="shared" si="26"/>
        <v>0</v>
      </c>
      <c r="N112" s="170">
        <f t="shared" si="26"/>
        <v>12283</v>
      </c>
      <c r="O112" s="321">
        <f t="shared" si="14"/>
        <v>549153</v>
      </c>
    </row>
    <row r="113" spans="1:15" ht="15">
      <c r="A113" s="171" t="s">
        <v>262</v>
      </c>
      <c r="B113" s="188" t="s">
        <v>159</v>
      </c>
      <c r="C113" s="289"/>
      <c r="D113" s="38">
        <v>31433</v>
      </c>
      <c r="E113" s="38"/>
      <c r="F113" s="113"/>
      <c r="G113" s="131"/>
      <c r="H113" s="131"/>
      <c r="I113" s="131"/>
      <c r="J113" s="130"/>
      <c r="K113" s="130"/>
      <c r="L113" s="130"/>
      <c r="M113" s="130"/>
      <c r="N113" s="133"/>
      <c r="O113" s="321">
        <f t="shared" si="14"/>
        <v>31433</v>
      </c>
    </row>
    <row r="114" spans="1:19" ht="15">
      <c r="A114" s="191" t="s">
        <v>263</v>
      </c>
      <c r="B114" s="188" t="s">
        <v>98</v>
      </c>
      <c r="C114" s="113"/>
      <c r="D114" s="38">
        <f>363687+10890</f>
        <v>374577</v>
      </c>
      <c r="E114" s="38"/>
      <c r="F114" s="113">
        <f>57609+3311+7926</f>
        <v>68846</v>
      </c>
      <c r="G114" s="118"/>
      <c r="H114" s="118">
        <v>18000</v>
      </c>
      <c r="I114" s="131"/>
      <c r="J114" s="130">
        <v>33075</v>
      </c>
      <c r="K114" s="130">
        <f>901+2500+2130</f>
        <v>5531</v>
      </c>
      <c r="L114" s="130">
        <v>5408</v>
      </c>
      <c r="M114" s="130"/>
      <c r="N114" s="195">
        <v>12283</v>
      </c>
      <c r="O114" s="321">
        <f t="shared" si="14"/>
        <v>517720</v>
      </c>
      <c r="P114" s="97"/>
      <c r="Q114" s="97"/>
      <c r="R114" s="97"/>
      <c r="S114" s="97"/>
    </row>
    <row r="115" spans="1:15" s="97" customFormat="1" ht="28.5">
      <c r="A115" s="169" t="s">
        <v>264</v>
      </c>
      <c r="B115" s="190" t="s">
        <v>265</v>
      </c>
      <c r="C115" s="318">
        <f>SUM(C116:C119)</f>
        <v>3599865</v>
      </c>
      <c r="D115" s="318">
        <f aca="true" t="shared" si="27" ref="D115:N115">SUM(D116:D119)</f>
        <v>0</v>
      </c>
      <c r="E115" s="318">
        <f t="shared" si="27"/>
        <v>0</v>
      </c>
      <c r="F115" s="318">
        <f t="shared" si="27"/>
        <v>0</v>
      </c>
      <c r="G115" s="318">
        <f t="shared" si="27"/>
        <v>0</v>
      </c>
      <c r="H115" s="318">
        <f t="shared" si="27"/>
        <v>0</v>
      </c>
      <c r="I115" s="318">
        <f t="shared" si="27"/>
        <v>0</v>
      </c>
      <c r="J115" s="318">
        <f t="shared" si="27"/>
        <v>0</v>
      </c>
      <c r="K115" s="318">
        <f t="shared" si="27"/>
        <v>0</v>
      </c>
      <c r="L115" s="318">
        <f t="shared" si="27"/>
        <v>0</v>
      </c>
      <c r="M115" s="318">
        <f t="shared" si="27"/>
        <v>0</v>
      </c>
      <c r="N115" s="318">
        <f t="shared" si="27"/>
        <v>0</v>
      </c>
      <c r="O115" s="321">
        <f t="shared" si="14"/>
        <v>3599865</v>
      </c>
    </row>
    <row r="116" spans="1:15" s="97" customFormat="1" ht="15">
      <c r="A116" s="171" t="s">
        <v>472</v>
      </c>
      <c r="B116" s="331" t="s">
        <v>670</v>
      </c>
      <c r="C116" s="167">
        <v>4918</v>
      </c>
      <c r="D116" s="318"/>
      <c r="E116" s="318"/>
      <c r="F116" s="318"/>
      <c r="G116" s="318"/>
      <c r="H116" s="318"/>
      <c r="I116" s="318"/>
      <c r="J116" s="318"/>
      <c r="K116" s="318"/>
      <c r="L116" s="318"/>
      <c r="M116" s="318"/>
      <c r="N116" s="318"/>
      <c r="O116" s="321">
        <f t="shared" si="14"/>
        <v>4918</v>
      </c>
    </row>
    <row r="117" spans="1:15" s="97" customFormat="1" ht="45">
      <c r="A117" s="171" t="s">
        <v>391</v>
      </c>
      <c r="B117" s="255" t="s">
        <v>441</v>
      </c>
      <c r="C117" s="167">
        <f>560687+45165</f>
        <v>605852</v>
      </c>
      <c r="D117" s="167"/>
      <c r="E117" s="167"/>
      <c r="F117" s="167"/>
      <c r="G117" s="127"/>
      <c r="H117" s="167"/>
      <c r="I117" s="167"/>
      <c r="J117" s="167"/>
      <c r="K117" s="167"/>
      <c r="L117" s="167"/>
      <c r="M117" s="167"/>
      <c r="N117" s="167"/>
      <c r="O117" s="321">
        <f t="shared" si="14"/>
        <v>605852</v>
      </c>
    </row>
    <row r="118" spans="1:15" s="97" customFormat="1" ht="44.25" customHeight="1">
      <c r="A118" s="171" t="s">
        <v>392</v>
      </c>
      <c r="B118" s="258" t="s">
        <v>442</v>
      </c>
      <c r="C118" s="167">
        <f>1815872+806774</f>
        <v>2622646</v>
      </c>
      <c r="D118" s="167"/>
      <c r="E118" s="167"/>
      <c r="F118" s="167"/>
      <c r="G118" s="127"/>
      <c r="H118" s="167"/>
      <c r="I118" s="167"/>
      <c r="J118" s="167"/>
      <c r="K118" s="167"/>
      <c r="L118" s="167"/>
      <c r="M118" s="167"/>
      <c r="N118" s="167"/>
      <c r="O118" s="321">
        <f t="shared" si="14"/>
        <v>2622646</v>
      </c>
    </row>
    <row r="119" spans="1:19" s="97" customFormat="1" ht="30">
      <c r="A119" s="171" t="s">
        <v>431</v>
      </c>
      <c r="B119" s="299" t="s">
        <v>499</v>
      </c>
      <c r="C119" s="167">
        <f>307929+57167+1353</f>
        <v>366449</v>
      </c>
      <c r="D119" s="167"/>
      <c r="E119" s="167"/>
      <c r="F119" s="167"/>
      <c r="G119" s="167"/>
      <c r="H119" s="167"/>
      <c r="I119" s="167"/>
      <c r="J119" s="167"/>
      <c r="K119" s="167"/>
      <c r="L119" s="167"/>
      <c r="M119" s="167"/>
      <c r="N119" s="167"/>
      <c r="O119" s="321">
        <f t="shared" si="14"/>
        <v>366449</v>
      </c>
      <c r="P119" s="94"/>
      <c r="Q119" s="94"/>
      <c r="R119" s="94"/>
      <c r="S119" s="94"/>
    </row>
    <row r="120" spans="1:15" ht="29.25">
      <c r="A120" s="165" t="s">
        <v>266</v>
      </c>
      <c r="B120" s="190" t="s">
        <v>267</v>
      </c>
      <c r="C120" s="318">
        <f>SUM(C121)</f>
        <v>0</v>
      </c>
      <c r="D120" s="318">
        <f aca="true" t="shared" si="28" ref="D120:N120">SUM(D121)</f>
        <v>0</v>
      </c>
      <c r="E120" s="318">
        <f t="shared" si="28"/>
        <v>0</v>
      </c>
      <c r="F120" s="318">
        <f t="shared" si="28"/>
        <v>0</v>
      </c>
      <c r="G120" s="318">
        <f t="shared" si="28"/>
        <v>0</v>
      </c>
      <c r="H120" s="318">
        <f t="shared" si="28"/>
        <v>0</v>
      </c>
      <c r="I120" s="318">
        <f t="shared" si="28"/>
        <v>0</v>
      </c>
      <c r="J120" s="318">
        <f t="shared" si="28"/>
        <v>0</v>
      </c>
      <c r="K120" s="318">
        <f t="shared" si="28"/>
        <v>0</v>
      </c>
      <c r="L120" s="318">
        <f t="shared" si="28"/>
        <v>0</v>
      </c>
      <c r="M120" s="318">
        <f t="shared" si="28"/>
        <v>0</v>
      </c>
      <c r="N120" s="318">
        <f t="shared" si="28"/>
        <v>0</v>
      </c>
      <c r="O120" s="321">
        <f t="shared" si="14"/>
        <v>0</v>
      </c>
    </row>
    <row r="121" spans="1:15" ht="30.75" thickBot="1">
      <c r="A121" s="171" t="s">
        <v>473</v>
      </c>
      <c r="B121" s="187" t="s">
        <v>500</v>
      </c>
      <c r="C121" s="318"/>
      <c r="D121" s="167"/>
      <c r="E121" s="167"/>
      <c r="F121" s="167"/>
      <c r="G121" s="167"/>
      <c r="H121" s="167"/>
      <c r="I121" s="167"/>
      <c r="J121" s="167"/>
      <c r="K121" s="167"/>
      <c r="L121" s="167"/>
      <c r="M121" s="167"/>
      <c r="N121" s="167"/>
      <c r="O121" s="321">
        <f t="shared" si="14"/>
        <v>0</v>
      </c>
    </row>
    <row r="122" spans="1:15" ht="30" thickBot="1">
      <c r="A122" s="182" t="s">
        <v>12</v>
      </c>
      <c r="B122" s="189" t="s">
        <v>99</v>
      </c>
      <c r="C122" s="317">
        <f>SUM(C123:C128)</f>
        <v>2468278</v>
      </c>
      <c r="D122" s="317">
        <f aca="true" t="shared" si="29" ref="D122:N122">SUM(D123:D128)</f>
        <v>7455461</v>
      </c>
      <c r="E122" s="317">
        <f t="shared" si="29"/>
        <v>0</v>
      </c>
      <c r="F122" s="317">
        <f t="shared" si="29"/>
        <v>269521</v>
      </c>
      <c r="G122" s="317">
        <f t="shared" si="29"/>
        <v>96140</v>
      </c>
      <c r="H122" s="317">
        <f t="shared" si="29"/>
        <v>186247</v>
      </c>
      <c r="I122" s="317">
        <f t="shared" si="29"/>
        <v>220745</v>
      </c>
      <c r="J122" s="317">
        <f t="shared" si="29"/>
        <v>321913</v>
      </c>
      <c r="K122" s="317">
        <f t="shared" si="29"/>
        <v>34073</v>
      </c>
      <c r="L122" s="317">
        <f t="shared" si="29"/>
        <v>99402</v>
      </c>
      <c r="M122" s="317">
        <f t="shared" si="29"/>
        <v>108578</v>
      </c>
      <c r="N122" s="317">
        <f t="shared" si="29"/>
        <v>119149</v>
      </c>
      <c r="O122" s="307">
        <f t="shared" si="14"/>
        <v>11379507</v>
      </c>
    </row>
    <row r="123" spans="1:15" ht="15">
      <c r="A123" s="165" t="s">
        <v>331</v>
      </c>
      <c r="B123" s="190" t="s">
        <v>474</v>
      </c>
      <c r="C123" s="318"/>
      <c r="D123" s="127"/>
      <c r="E123" s="110"/>
      <c r="F123" s="126"/>
      <c r="G123" s="140"/>
      <c r="H123" s="216"/>
      <c r="I123" s="140"/>
      <c r="J123" s="129"/>
      <c r="K123" s="129"/>
      <c r="L123" s="129"/>
      <c r="M123" s="129"/>
      <c r="N123" s="150"/>
      <c r="O123" s="319">
        <f t="shared" si="14"/>
        <v>0</v>
      </c>
    </row>
    <row r="124" spans="1:15" ht="15">
      <c r="A124" s="186" t="s">
        <v>393</v>
      </c>
      <c r="B124" s="187" t="s">
        <v>182</v>
      </c>
      <c r="C124" s="167"/>
      <c r="D124" s="127"/>
      <c r="E124" s="110"/>
      <c r="F124" s="126"/>
      <c r="G124" s="140"/>
      <c r="H124" s="100"/>
      <c r="I124" s="140"/>
      <c r="J124" s="129"/>
      <c r="K124" s="129"/>
      <c r="L124" s="129"/>
      <c r="M124" s="129"/>
      <c r="N124" s="150"/>
      <c r="O124" s="309">
        <f t="shared" si="14"/>
        <v>0</v>
      </c>
    </row>
    <row r="125" spans="1:15" ht="15">
      <c r="A125" s="169" t="s">
        <v>475</v>
      </c>
      <c r="B125" s="173" t="s">
        <v>268</v>
      </c>
      <c r="C125" s="113">
        <f>458210+4769</f>
        <v>462979</v>
      </c>
      <c r="D125" s="54"/>
      <c r="E125" s="38"/>
      <c r="F125" s="113"/>
      <c r="G125" s="131"/>
      <c r="H125" s="131"/>
      <c r="I125" s="131"/>
      <c r="J125" s="130"/>
      <c r="K125" s="130"/>
      <c r="L125" s="130"/>
      <c r="M125" s="130"/>
      <c r="N125" s="133"/>
      <c r="O125" s="321">
        <f t="shared" si="14"/>
        <v>462979</v>
      </c>
    </row>
    <row r="126" spans="1:15" ht="15">
      <c r="A126" s="169" t="s">
        <v>100</v>
      </c>
      <c r="B126" s="173" t="s">
        <v>101</v>
      </c>
      <c r="C126" s="289"/>
      <c r="D126" s="38">
        <f>140605+6304</f>
        <v>146909</v>
      </c>
      <c r="E126" s="38"/>
      <c r="F126" s="113">
        <f>34544-2911-1900</f>
        <v>29733</v>
      </c>
      <c r="G126" s="118"/>
      <c r="H126" s="118">
        <v>18120</v>
      </c>
      <c r="I126" s="118">
        <v>14987</v>
      </c>
      <c r="J126" s="130">
        <v>51341</v>
      </c>
      <c r="K126" s="130">
        <f>5000-2500</f>
        <v>2500</v>
      </c>
      <c r="L126" s="130">
        <v>4816</v>
      </c>
      <c r="M126" s="130">
        <v>94658</v>
      </c>
      <c r="N126" s="133">
        <v>5696</v>
      </c>
      <c r="O126" s="321">
        <f aca="true" t="shared" si="30" ref="O126:O185">SUM(C126:N126)</f>
        <v>368760</v>
      </c>
    </row>
    <row r="127" spans="1:15" ht="15">
      <c r="A127" s="169" t="s">
        <v>518</v>
      </c>
      <c r="B127" s="173" t="s">
        <v>103</v>
      </c>
      <c r="C127" s="170">
        <f>538579+2987</f>
        <v>541566</v>
      </c>
      <c r="D127" s="38">
        <v>145614</v>
      </c>
      <c r="E127" s="38"/>
      <c r="F127" s="113"/>
      <c r="G127" s="118">
        <v>5400</v>
      </c>
      <c r="H127" s="118">
        <v>1600</v>
      </c>
      <c r="I127" s="131"/>
      <c r="J127" s="130">
        <v>4225</v>
      </c>
      <c r="K127" s="130"/>
      <c r="L127" s="130"/>
      <c r="M127" s="130">
        <v>1500</v>
      </c>
      <c r="N127" s="133"/>
      <c r="O127" s="321">
        <f t="shared" si="30"/>
        <v>699905</v>
      </c>
    </row>
    <row r="128" spans="1:15" ht="43.5">
      <c r="A128" s="169" t="s">
        <v>104</v>
      </c>
      <c r="B128" s="173" t="s">
        <v>105</v>
      </c>
      <c r="C128" s="320">
        <f>SUM(C129:C143)</f>
        <v>1463733</v>
      </c>
      <c r="D128" s="170">
        <f aca="true" t="shared" si="31" ref="D128:N128">SUM(D129:D142)</f>
        <v>7162938</v>
      </c>
      <c r="E128" s="320">
        <f t="shared" si="31"/>
        <v>0</v>
      </c>
      <c r="F128" s="320">
        <f t="shared" si="31"/>
        <v>239788</v>
      </c>
      <c r="G128" s="320">
        <f t="shared" si="31"/>
        <v>90740</v>
      </c>
      <c r="H128" s="320">
        <f t="shared" si="31"/>
        <v>166527</v>
      </c>
      <c r="I128" s="320">
        <f t="shared" si="31"/>
        <v>205758</v>
      </c>
      <c r="J128" s="320">
        <f t="shared" si="31"/>
        <v>266347</v>
      </c>
      <c r="K128" s="320">
        <f t="shared" si="31"/>
        <v>31573</v>
      </c>
      <c r="L128" s="320">
        <f t="shared" si="31"/>
        <v>94586</v>
      </c>
      <c r="M128" s="320">
        <f t="shared" si="31"/>
        <v>12420</v>
      </c>
      <c r="N128" s="320">
        <f t="shared" si="31"/>
        <v>113453</v>
      </c>
      <c r="O128" s="321">
        <f t="shared" si="30"/>
        <v>9847863</v>
      </c>
    </row>
    <row r="129" spans="1:15" ht="15">
      <c r="A129" s="171" t="s">
        <v>269</v>
      </c>
      <c r="B129" s="188" t="s">
        <v>479</v>
      </c>
      <c r="C129" s="289"/>
      <c r="D129" s="38">
        <v>4394263</v>
      </c>
      <c r="E129" s="38"/>
      <c r="F129" s="113">
        <f>67571+517+400</f>
        <v>68488</v>
      </c>
      <c r="G129" s="225"/>
      <c r="H129" s="128">
        <v>7100</v>
      </c>
      <c r="I129" s="118">
        <v>8023</v>
      </c>
      <c r="J129" s="130">
        <v>3680</v>
      </c>
      <c r="K129" s="130"/>
      <c r="L129" s="130"/>
      <c r="M129" s="130"/>
      <c r="N129" s="130">
        <v>110609</v>
      </c>
      <c r="O129" s="321">
        <f t="shared" si="30"/>
        <v>4592163</v>
      </c>
    </row>
    <row r="130" spans="1:15" ht="15">
      <c r="A130" s="171" t="s">
        <v>270</v>
      </c>
      <c r="B130" s="188" t="s">
        <v>480</v>
      </c>
      <c r="C130" s="289"/>
      <c r="D130" s="38">
        <v>2737435</v>
      </c>
      <c r="E130" s="38"/>
      <c r="F130" s="113">
        <f>168800+1000+1500</f>
        <v>171300</v>
      </c>
      <c r="G130" s="225"/>
      <c r="H130" s="118">
        <v>121071</v>
      </c>
      <c r="I130" s="118">
        <v>89655</v>
      </c>
      <c r="J130" s="130">
        <v>129120</v>
      </c>
      <c r="K130" s="130"/>
      <c r="L130" s="130"/>
      <c r="M130" s="130"/>
      <c r="N130" s="133"/>
      <c r="O130" s="321">
        <f t="shared" si="30"/>
        <v>3248581</v>
      </c>
    </row>
    <row r="131" spans="1:15" ht="15">
      <c r="A131" s="171" t="s">
        <v>271</v>
      </c>
      <c r="B131" s="188" t="s">
        <v>481</v>
      </c>
      <c r="C131" s="289">
        <v>26940</v>
      </c>
      <c r="D131" s="38">
        <v>31240</v>
      </c>
      <c r="E131" s="38"/>
      <c r="F131" s="113"/>
      <c r="G131" s="118">
        <v>12966</v>
      </c>
      <c r="H131" s="131"/>
      <c r="I131" s="131"/>
      <c r="J131" s="130">
        <v>11839</v>
      </c>
      <c r="K131" s="130">
        <v>4544</v>
      </c>
      <c r="L131" s="130"/>
      <c r="M131" s="130">
        <v>6304</v>
      </c>
      <c r="N131" s="133"/>
      <c r="O131" s="321">
        <f t="shared" si="30"/>
        <v>93833</v>
      </c>
    </row>
    <row r="132" spans="1:15" ht="45">
      <c r="A132" s="171" t="s">
        <v>476</v>
      </c>
      <c r="B132" s="187" t="s">
        <v>648</v>
      </c>
      <c r="C132" s="126">
        <f>19250+214</f>
        <v>19464</v>
      </c>
      <c r="D132" s="38"/>
      <c r="E132" s="38"/>
      <c r="F132" s="113"/>
      <c r="G132" s="118"/>
      <c r="H132" s="131"/>
      <c r="I132" s="131"/>
      <c r="J132" s="130"/>
      <c r="K132" s="130"/>
      <c r="L132" s="130"/>
      <c r="M132" s="130"/>
      <c r="N132" s="133"/>
      <c r="O132" s="321">
        <f t="shared" si="30"/>
        <v>19464</v>
      </c>
    </row>
    <row r="133" spans="1:15" ht="30">
      <c r="A133" s="171" t="s">
        <v>272</v>
      </c>
      <c r="B133" s="188" t="s">
        <v>477</v>
      </c>
      <c r="C133" s="324">
        <f>43600-20199</f>
        <v>23401</v>
      </c>
      <c r="D133" s="38"/>
      <c r="E133" s="38"/>
      <c r="F133" s="113"/>
      <c r="G133" s="118">
        <f>4022-76</f>
        <v>3946</v>
      </c>
      <c r="H133" s="118">
        <v>2766</v>
      </c>
      <c r="I133" s="118">
        <v>1425</v>
      </c>
      <c r="J133" s="130">
        <f>4172-3</f>
        <v>4169</v>
      </c>
      <c r="K133" s="130"/>
      <c r="L133" s="130">
        <v>3000</v>
      </c>
      <c r="M133" s="130">
        <v>1964</v>
      </c>
      <c r="N133" s="133">
        <f>2850-6</f>
        <v>2844</v>
      </c>
      <c r="O133" s="321">
        <f t="shared" si="30"/>
        <v>43515</v>
      </c>
    </row>
    <row r="134" spans="1:15" ht="30">
      <c r="A134" s="171" t="s">
        <v>273</v>
      </c>
      <c r="B134" s="187" t="s">
        <v>351</v>
      </c>
      <c r="C134" s="324">
        <v>48000</v>
      </c>
      <c r="D134" s="38"/>
      <c r="E134" s="38"/>
      <c r="F134" s="113"/>
      <c r="G134" s="118">
        <v>6467</v>
      </c>
      <c r="H134" s="131"/>
      <c r="I134" s="118">
        <v>9000</v>
      </c>
      <c r="J134" s="130">
        <v>2768</v>
      </c>
      <c r="K134" s="130"/>
      <c r="L134" s="130"/>
      <c r="M134" s="130"/>
      <c r="N134" s="133"/>
      <c r="O134" s="321">
        <f t="shared" si="30"/>
        <v>66235</v>
      </c>
    </row>
    <row r="135" spans="1:15" ht="15">
      <c r="A135" s="171" t="s">
        <v>274</v>
      </c>
      <c r="B135" s="193" t="s">
        <v>183</v>
      </c>
      <c r="C135" s="289">
        <v>35000</v>
      </c>
      <c r="D135" s="113"/>
      <c r="E135" s="113"/>
      <c r="F135" s="113"/>
      <c r="G135" s="118">
        <v>26209</v>
      </c>
      <c r="H135" s="131"/>
      <c r="I135" s="118">
        <v>97655</v>
      </c>
      <c r="J135" s="130"/>
      <c r="K135" s="130"/>
      <c r="L135" s="130"/>
      <c r="M135" s="130"/>
      <c r="N135" s="133"/>
      <c r="O135" s="321">
        <f t="shared" si="30"/>
        <v>158864</v>
      </c>
    </row>
    <row r="136" spans="1:15" ht="17.25" customHeight="1">
      <c r="A136" s="171" t="s">
        <v>275</v>
      </c>
      <c r="B136" s="188" t="s">
        <v>482</v>
      </c>
      <c r="C136" s="38">
        <f>3000-187+3000</f>
        <v>5813</v>
      </c>
      <c r="D136" s="38"/>
      <c r="E136" s="38"/>
      <c r="F136" s="113"/>
      <c r="G136" s="131"/>
      <c r="H136" s="131"/>
      <c r="I136" s="131"/>
      <c r="J136" s="130"/>
      <c r="K136" s="130"/>
      <c r="L136" s="130"/>
      <c r="M136" s="130"/>
      <c r="N136" s="133"/>
      <c r="O136" s="321">
        <f t="shared" si="30"/>
        <v>5813</v>
      </c>
    </row>
    <row r="137" spans="1:15" ht="15">
      <c r="A137" s="171" t="s">
        <v>276</v>
      </c>
      <c r="B137" s="188" t="s">
        <v>277</v>
      </c>
      <c r="C137" s="289"/>
      <c r="D137" s="113"/>
      <c r="E137" s="113"/>
      <c r="F137" s="113"/>
      <c r="G137" s="131"/>
      <c r="H137" s="118">
        <v>35590</v>
      </c>
      <c r="I137" s="131"/>
      <c r="J137" s="235">
        <v>114771</v>
      </c>
      <c r="K137" s="133">
        <f>24829+2200</f>
        <v>27029</v>
      </c>
      <c r="L137" s="130">
        <v>83358</v>
      </c>
      <c r="M137" s="130"/>
      <c r="N137" s="195"/>
      <c r="O137" s="321">
        <f t="shared" si="30"/>
        <v>260748</v>
      </c>
    </row>
    <row r="138" spans="1:15" ht="30">
      <c r="A138" s="171" t="s">
        <v>342</v>
      </c>
      <c r="B138" s="188" t="s">
        <v>497</v>
      </c>
      <c r="C138" s="289">
        <f>135387+150078+22029</f>
        <v>307494</v>
      </c>
      <c r="D138" s="113"/>
      <c r="E138" s="113"/>
      <c r="F138" s="113"/>
      <c r="G138" s="131"/>
      <c r="H138" s="118"/>
      <c r="I138" s="131"/>
      <c r="J138" s="235"/>
      <c r="K138" s="133"/>
      <c r="L138" s="130"/>
      <c r="M138" s="130"/>
      <c r="N138" s="195"/>
      <c r="O138" s="321">
        <f t="shared" si="30"/>
        <v>307494</v>
      </c>
    </row>
    <row r="139" spans="1:15" ht="15">
      <c r="A139" s="171" t="s">
        <v>496</v>
      </c>
      <c r="B139" s="187" t="s">
        <v>478</v>
      </c>
      <c r="C139" s="113">
        <f>316248+17676+22233</f>
        <v>356157</v>
      </c>
      <c r="D139" s="113"/>
      <c r="E139" s="113"/>
      <c r="F139" s="113"/>
      <c r="G139" s="118">
        <v>41152</v>
      </c>
      <c r="H139" s="118"/>
      <c r="I139" s="131"/>
      <c r="J139" s="235"/>
      <c r="K139" s="133"/>
      <c r="L139" s="130"/>
      <c r="M139" s="130">
        <v>4152</v>
      </c>
      <c r="N139" s="195"/>
      <c r="O139" s="321">
        <f t="shared" si="30"/>
        <v>401461</v>
      </c>
    </row>
    <row r="140" spans="1:15" ht="60">
      <c r="A140" s="171" t="s">
        <v>635</v>
      </c>
      <c r="B140" s="187" t="s">
        <v>636</v>
      </c>
      <c r="C140" s="113">
        <v>62370</v>
      </c>
      <c r="D140" s="113"/>
      <c r="E140" s="113"/>
      <c r="F140" s="113"/>
      <c r="G140" s="118"/>
      <c r="H140" s="118"/>
      <c r="I140" s="131"/>
      <c r="J140" s="235"/>
      <c r="K140" s="133"/>
      <c r="L140" s="130"/>
      <c r="M140" s="130"/>
      <c r="N140" s="195"/>
      <c r="O140" s="321">
        <f t="shared" si="30"/>
        <v>62370</v>
      </c>
    </row>
    <row r="141" spans="1:15" ht="15">
      <c r="A141" s="171" t="s">
        <v>508</v>
      </c>
      <c r="B141" s="188" t="s">
        <v>498</v>
      </c>
      <c r="C141" s="289"/>
      <c r="D141" s="113"/>
      <c r="E141" s="113"/>
      <c r="F141" s="113"/>
      <c r="G141" s="199"/>
      <c r="H141" s="199"/>
      <c r="I141" s="199"/>
      <c r="J141" s="330"/>
      <c r="K141" s="133"/>
      <c r="L141" s="130">
        <v>8228</v>
      </c>
      <c r="M141" s="133"/>
      <c r="N141" s="195"/>
      <c r="O141" s="308">
        <f t="shared" si="30"/>
        <v>8228</v>
      </c>
    </row>
    <row r="142" spans="1:15" ht="30">
      <c r="A142" s="171" t="s">
        <v>516</v>
      </c>
      <c r="B142" s="188" t="s">
        <v>517</v>
      </c>
      <c r="C142" s="113">
        <v>11570</v>
      </c>
      <c r="D142" s="113"/>
      <c r="E142" s="113"/>
      <c r="F142" s="113"/>
      <c r="G142" s="199"/>
      <c r="H142" s="199"/>
      <c r="I142" s="199"/>
      <c r="J142" s="330"/>
      <c r="K142" s="133"/>
      <c r="L142" s="133"/>
      <c r="M142" s="133"/>
      <c r="N142" s="195"/>
      <c r="O142" s="308">
        <f t="shared" si="30"/>
        <v>11570</v>
      </c>
    </row>
    <row r="143" spans="1:15" ht="30.75" thickBot="1">
      <c r="A143" s="365" t="s">
        <v>656</v>
      </c>
      <c r="B143" s="517" t="s">
        <v>678</v>
      </c>
      <c r="C143" s="144">
        <f>613213-62461+16772</f>
        <v>567524</v>
      </c>
      <c r="D143" s="144"/>
      <c r="E143" s="144"/>
      <c r="F143" s="144"/>
      <c r="G143" s="293"/>
      <c r="H143" s="293"/>
      <c r="I143" s="293"/>
      <c r="J143" s="332"/>
      <c r="K143" s="194"/>
      <c r="L143" s="194"/>
      <c r="M143" s="194"/>
      <c r="N143" s="194"/>
      <c r="O143" s="308">
        <f t="shared" si="30"/>
        <v>567524</v>
      </c>
    </row>
    <row r="144" spans="1:19" ht="15.75" thickBot="1">
      <c r="A144" s="182" t="s">
        <v>13</v>
      </c>
      <c r="B144" s="105" t="s">
        <v>106</v>
      </c>
      <c r="C144" s="317">
        <f>SUM(C145+C147+C148)</f>
        <v>177703</v>
      </c>
      <c r="D144" s="317">
        <f aca="true" t="shared" si="32" ref="D144:N144">SUM(D145+D147+D148)</f>
        <v>0</v>
      </c>
      <c r="E144" s="317">
        <f t="shared" si="32"/>
        <v>0</v>
      </c>
      <c r="F144" s="317">
        <f t="shared" si="32"/>
        <v>0</v>
      </c>
      <c r="G144" s="317">
        <f t="shared" si="32"/>
        <v>1930</v>
      </c>
      <c r="H144" s="317">
        <f t="shared" si="32"/>
        <v>0</v>
      </c>
      <c r="I144" s="317">
        <f t="shared" si="32"/>
        <v>0</v>
      </c>
      <c r="J144" s="317">
        <f t="shared" si="32"/>
        <v>0</v>
      </c>
      <c r="K144" s="317">
        <f t="shared" si="32"/>
        <v>3194</v>
      </c>
      <c r="L144" s="317">
        <f t="shared" si="32"/>
        <v>26539</v>
      </c>
      <c r="M144" s="317">
        <f t="shared" si="32"/>
        <v>800</v>
      </c>
      <c r="N144" s="317">
        <f t="shared" si="32"/>
        <v>1523</v>
      </c>
      <c r="O144" s="307">
        <f t="shared" si="30"/>
        <v>211689</v>
      </c>
      <c r="P144" s="97"/>
      <c r="Q144" s="97"/>
      <c r="R144" s="97"/>
      <c r="S144" s="97"/>
    </row>
    <row r="145" spans="1:19" s="97" customFormat="1" ht="15">
      <c r="A145" s="165" t="s">
        <v>107</v>
      </c>
      <c r="B145" s="166" t="s">
        <v>108</v>
      </c>
      <c r="C145" s="318">
        <f>SUM(C146:C146)</f>
        <v>0</v>
      </c>
      <c r="D145" s="167">
        <f aca="true" t="shared" si="33" ref="D145:N145">SUM(D146:D146)</f>
        <v>0</v>
      </c>
      <c r="E145" s="167">
        <f t="shared" si="33"/>
        <v>0</v>
      </c>
      <c r="F145" s="167">
        <f t="shared" si="33"/>
        <v>0</v>
      </c>
      <c r="G145" s="127">
        <f t="shared" si="33"/>
        <v>1930</v>
      </c>
      <c r="H145" s="167">
        <f t="shared" si="33"/>
        <v>0</v>
      </c>
      <c r="I145" s="167">
        <f t="shared" si="33"/>
        <v>0</v>
      </c>
      <c r="J145" s="167">
        <f t="shared" si="33"/>
        <v>0</v>
      </c>
      <c r="K145" s="167">
        <f t="shared" si="33"/>
        <v>3194</v>
      </c>
      <c r="L145" s="167">
        <f t="shared" si="33"/>
        <v>26539</v>
      </c>
      <c r="M145" s="167">
        <f t="shared" si="33"/>
        <v>800</v>
      </c>
      <c r="N145" s="167">
        <f t="shared" si="33"/>
        <v>1523</v>
      </c>
      <c r="O145" s="308">
        <f t="shared" si="30"/>
        <v>33986</v>
      </c>
      <c r="P145" s="94"/>
      <c r="Q145" s="94"/>
      <c r="R145" s="94"/>
      <c r="S145" s="94"/>
    </row>
    <row r="146" spans="1:15" ht="15">
      <c r="A146" s="171" t="s">
        <v>483</v>
      </c>
      <c r="B146" s="112" t="s">
        <v>184</v>
      </c>
      <c r="C146" s="289"/>
      <c r="D146" s="38"/>
      <c r="E146" s="38"/>
      <c r="F146" s="113"/>
      <c r="G146" s="118">
        <v>1930</v>
      </c>
      <c r="H146" s="131"/>
      <c r="I146" s="131"/>
      <c r="J146" s="130"/>
      <c r="K146" s="130">
        <v>3194</v>
      </c>
      <c r="L146" s="130">
        <v>26539</v>
      </c>
      <c r="M146" s="130">
        <v>800</v>
      </c>
      <c r="N146" s="133">
        <v>1523</v>
      </c>
      <c r="O146" s="321">
        <f t="shared" si="30"/>
        <v>33986</v>
      </c>
    </row>
    <row r="147" spans="1:15" ht="31.5" customHeight="1">
      <c r="A147" s="171" t="s">
        <v>443</v>
      </c>
      <c r="B147" s="112" t="s">
        <v>504</v>
      </c>
      <c r="C147" s="289">
        <v>174516</v>
      </c>
      <c r="D147" s="113"/>
      <c r="E147" s="113"/>
      <c r="F147" s="113"/>
      <c r="G147" s="371"/>
      <c r="H147" s="199"/>
      <c r="I147" s="199"/>
      <c r="J147" s="133"/>
      <c r="K147" s="133"/>
      <c r="L147" s="133"/>
      <c r="M147" s="133"/>
      <c r="N147" s="195"/>
      <c r="O147" s="321">
        <f t="shared" si="30"/>
        <v>174516</v>
      </c>
    </row>
    <row r="148" spans="1:15" ht="19.5" customHeight="1" thickBot="1">
      <c r="A148" s="171" t="s">
        <v>655</v>
      </c>
      <c r="B148" s="333" t="s">
        <v>661</v>
      </c>
      <c r="C148" s="325">
        <f>19056-15869</f>
        <v>3187</v>
      </c>
      <c r="D148" s="144"/>
      <c r="E148" s="144"/>
      <c r="F148" s="144"/>
      <c r="G148" s="334"/>
      <c r="H148" s="293"/>
      <c r="I148" s="293"/>
      <c r="J148" s="194"/>
      <c r="K148" s="194"/>
      <c r="L148" s="194"/>
      <c r="M148" s="194"/>
      <c r="N148" s="194"/>
      <c r="O148" s="321">
        <f t="shared" si="30"/>
        <v>3187</v>
      </c>
    </row>
    <row r="149" spans="1:15" ht="15.75" thickBot="1">
      <c r="A149" s="182" t="s">
        <v>15</v>
      </c>
      <c r="B149" s="105" t="s">
        <v>109</v>
      </c>
      <c r="C149" s="317">
        <f>C150+C154+C185+C188</f>
        <v>3279480</v>
      </c>
      <c r="D149" s="317">
        <f aca="true" t="shared" si="34" ref="D149:M149">D150+D154+D186+D187+D188</f>
        <v>311775</v>
      </c>
      <c r="E149" s="317">
        <f t="shared" si="34"/>
        <v>1587554</v>
      </c>
      <c r="F149" s="317">
        <f t="shared" si="34"/>
        <v>0</v>
      </c>
      <c r="G149" s="317">
        <f t="shared" si="34"/>
        <v>217361</v>
      </c>
      <c r="H149" s="317">
        <f t="shared" si="34"/>
        <v>93864</v>
      </c>
      <c r="I149" s="317">
        <f t="shared" si="34"/>
        <v>117709</v>
      </c>
      <c r="J149" s="317">
        <f t="shared" si="34"/>
        <v>244354</v>
      </c>
      <c r="K149" s="317">
        <f t="shared" si="34"/>
        <v>40545</v>
      </c>
      <c r="L149" s="317">
        <f t="shared" si="34"/>
        <v>37145</v>
      </c>
      <c r="M149" s="317">
        <f t="shared" si="34"/>
        <v>87739</v>
      </c>
      <c r="N149" s="317">
        <f>N150+N154+N186+N187+N188</f>
        <v>76792</v>
      </c>
      <c r="O149" s="307">
        <f t="shared" si="30"/>
        <v>6094318</v>
      </c>
    </row>
    <row r="150" spans="1:15" ht="15">
      <c r="A150" s="165" t="s">
        <v>110</v>
      </c>
      <c r="B150" s="166" t="s">
        <v>111</v>
      </c>
      <c r="C150" s="318">
        <f>SUM(C151:C153)</f>
        <v>290528</v>
      </c>
      <c r="D150" s="167">
        <f>SUM(D151:D153)</f>
        <v>311775</v>
      </c>
      <c r="E150" s="167">
        <f aca="true" t="shared" si="35" ref="E150:M150">SUM(E151:E153)</f>
        <v>0</v>
      </c>
      <c r="F150" s="167">
        <f t="shared" si="35"/>
        <v>0</v>
      </c>
      <c r="G150" s="167">
        <f t="shared" si="35"/>
        <v>5365</v>
      </c>
      <c r="H150" s="167">
        <f t="shared" si="35"/>
        <v>0</v>
      </c>
      <c r="I150" s="167">
        <f t="shared" si="35"/>
        <v>0</v>
      </c>
      <c r="J150" s="167">
        <f>SUM(J151:J153)</f>
        <v>6822</v>
      </c>
      <c r="K150" s="167">
        <f t="shared" si="35"/>
        <v>0</v>
      </c>
      <c r="L150" s="167">
        <f t="shared" si="35"/>
        <v>0</v>
      </c>
      <c r="M150" s="167">
        <f t="shared" si="35"/>
        <v>9896</v>
      </c>
      <c r="N150" s="167">
        <f>SUM(N151:N153)</f>
        <v>0</v>
      </c>
      <c r="O150" s="329">
        <f t="shared" si="30"/>
        <v>624386</v>
      </c>
    </row>
    <row r="151" spans="1:15" ht="15">
      <c r="A151" s="171" t="s">
        <v>278</v>
      </c>
      <c r="B151" s="112" t="s">
        <v>112</v>
      </c>
      <c r="C151" s="289">
        <v>51685</v>
      </c>
      <c r="D151" s="38"/>
      <c r="E151" s="38"/>
      <c r="F151" s="113"/>
      <c r="G151" s="118">
        <v>5365</v>
      </c>
      <c r="H151" s="131"/>
      <c r="I151" s="131"/>
      <c r="J151" s="130">
        <v>6822</v>
      </c>
      <c r="K151" s="130"/>
      <c r="L151" s="130"/>
      <c r="M151" s="130">
        <v>9896</v>
      </c>
      <c r="N151" s="133"/>
      <c r="O151" s="321">
        <f t="shared" si="30"/>
        <v>73768</v>
      </c>
    </row>
    <row r="152" spans="1:15" ht="30">
      <c r="A152" s="171" t="s">
        <v>279</v>
      </c>
      <c r="B152" s="112" t="s">
        <v>113</v>
      </c>
      <c r="C152" s="289">
        <f>225260+14474-891</f>
        <v>238843</v>
      </c>
      <c r="D152" s="38"/>
      <c r="E152" s="38"/>
      <c r="F152" s="113"/>
      <c r="G152" s="118"/>
      <c r="H152" s="131"/>
      <c r="I152" s="131"/>
      <c r="J152" s="130"/>
      <c r="K152" s="130"/>
      <c r="L152" s="130"/>
      <c r="M152" s="130"/>
      <c r="N152" s="133"/>
      <c r="O152" s="321">
        <f t="shared" si="30"/>
        <v>238843</v>
      </c>
    </row>
    <row r="153" spans="1:15" ht="15">
      <c r="A153" s="171" t="s">
        <v>394</v>
      </c>
      <c r="B153" s="112" t="s">
        <v>395</v>
      </c>
      <c r="C153" s="289"/>
      <c r="D153" s="113">
        <v>311775</v>
      </c>
      <c r="E153" s="113"/>
      <c r="F153" s="113"/>
      <c r="G153" s="131"/>
      <c r="H153" s="199"/>
      <c r="I153" s="199"/>
      <c r="J153" s="133"/>
      <c r="K153" s="133"/>
      <c r="L153" s="133"/>
      <c r="M153" s="133"/>
      <c r="N153" s="133"/>
      <c r="O153" s="321">
        <f t="shared" si="30"/>
        <v>311775</v>
      </c>
    </row>
    <row r="154" spans="1:15" ht="15">
      <c r="A154" s="169" t="s">
        <v>114</v>
      </c>
      <c r="B154" s="173" t="s">
        <v>14</v>
      </c>
      <c r="C154" s="320">
        <f>SUM(C155+C156+C161+C167)</f>
        <v>2822468</v>
      </c>
      <c r="D154" s="320">
        <f aca="true" t="shared" si="36" ref="D154:M154">SUM(D155+D156+D161+D167)</f>
        <v>0</v>
      </c>
      <c r="E154" s="320">
        <f>SUM(E155+E156+E161+E167)</f>
        <v>1587554</v>
      </c>
      <c r="F154" s="320">
        <f t="shared" si="36"/>
        <v>0</v>
      </c>
      <c r="G154" s="320">
        <f>SUM(G155+G156+G161+G167)</f>
        <v>211996</v>
      </c>
      <c r="H154" s="320">
        <f>SUM(H155+H156+H161+H167)</f>
        <v>93864</v>
      </c>
      <c r="I154" s="320">
        <f t="shared" si="36"/>
        <v>114579</v>
      </c>
      <c r="J154" s="320">
        <f>SUM(J155+J156+J161+J167)</f>
        <v>236225</v>
      </c>
      <c r="K154" s="320">
        <f t="shared" si="36"/>
        <v>40545</v>
      </c>
      <c r="L154" s="320">
        <f t="shared" si="36"/>
        <v>37145</v>
      </c>
      <c r="M154" s="320">
        <f t="shared" si="36"/>
        <v>77843</v>
      </c>
      <c r="N154" s="320">
        <f>SUM(N155+N156+N161+N167)</f>
        <v>76792</v>
      </c>
      <c r="O154" s="321">
        <f t="shared" si="30"/>
        <v>5299011</v>
      </c>
    </row>
    <row r="155" spans="1:15" ht="15">
      <c r="A155" s="171" t="s">
        <v>550</v>
      </c>
      <c r="B155" s="112" t="s">
        <v>185</v>
      </c>
      <c r="C155" s="289">
        <f>359158+29282+240</f>
        <v>388680</v>
      </c>
      <c r="D155" s="38"/>
      <c r="E155" s="38"/>
      <c r="F155" s="113"/>
      <c r="G155" s="225">
        <v>30074</v>
      </c>
      <c r="H155" s="118">
        <v>29075</v>
      </c>
      <c r="I155" s="118">
        <v>13449</v>
      </c>
      <c r="J155" s="130">
        <v>29360</v>
      </c>
      <c r="K155" s="130">
        <v>14927</v>
      </c>
      <c r="L155" s="130">
        <v>13491</v>
      </c>
      <c r="M155" s="130">
        <v>15937</v>
      </c>
      <c r="N155" s="174">
        <v>16406</v>
      </c>
      <c r="O155" s="321">
        <f t="shared" si="30"/>
        <v>551399</v>
      </c>
    </row>
    <row r="156" spans="1:15" ht="15">
      <c r="A156" s="171" t="s">
        <v>280</v>
      </c>
      <c r="B156" s="112" t="s">
        <v>160</v>
      </c>
      <c r="C156" s="289">
        <f>SUM(C157:C159)</f>
        <v>684256</v>
      </c>
      <c r="D156" s="289">
        <f aca="true" t="shared" si="37" ref="D156:L156">SUM(D157:D159)</f>
        <v>0</v>
      </c>
      <c r="E156" s="289">
        <f>SUM(E157:E159)</f>
        <v>0</v>
      </c>
      <c r="F156" s="289">
        <f t="shared" si="37"/>
        <v>0</v>
      </c>
      <c r="G156" s="289">
        <f t="shared" si="37"/>
        <v>0</v>
      </c>
      <c r="H156" s="289">
        <f t="shared" si="37"/>
        <v>0</v>
      </c>
      <c r="I156" s="289">
        <f t="shared" si="37"/>
        <v>0</v>
      </c>
      <c r="J156" s="289">
        <f>SUM(J157:J159)</f>
        <v>0</v>
      </c>
      <c r="K156" s="289">
        <f t="shared" si="37"/>
        <v>0</v>
      </c>
      <c r="L156" s="289">
        <f t="shared" si="37"/>
        <v>0</v>
      </c>
      <c r="M156" s="289">
        <f>SUM(M157:M160)</f>
        <v>5208</v>
      </c>
      <c r="N156" s="289">
        <f>SUM(N157:N159)</f>
        <v>0</v>
      </c>
      <c r="O156" s="321">
        <f t="shared" si="30"/>
        <v>689464</v>
      </c>
    </row>
    <row r="157" spans="1:15" ht="15">
      <c r="A157" s="171" t="s">
        <v>280</v>
      </c>
      <c r="B157" s="112" t="s">
        <v>161</v>
      </c>
      <c r="C157" s="486"/>
      <c r="D157" s="38"/>
      <c r="E157" s="38"/>
      <c r="F157" s="113"/>
      <c r="G157" s="131"/>
      <c r="H157" s="131"/>
      <c r="I157" s="118"/>
      <c r="J157" s="130"/>
      <c r="K157" s="130"/>
      <c r="L157" s="130"/>
      <c r="M157" s="130"/>
      <c r="N157" s="174"/>
      <c r="O157" s="321">
        <f t="shared" si="30"/>
        <v>0</v>
      </c>
    </row>
    <row r="158" spans="1:15" ht="15">
      <c r="A158" s="171" t="s">
        <v>281</v>
      </c>
      <c r="B158" s="112" t="s">
        <v>339</v>
      </c>
      <c r="C158" s="113">
        <f>264278-362+7000</f>
        <v>270916</v>
      </c>
      <c r="D158" s="38"/>
      <c r="E158" s="38"/>
      <c r="F158" s="113"/>
      <c r="G158" s="131"/>
      <c r="H158" s="131"/>
      <c r="I158" s="118"/>
      <c r="J158" s="130"/>
      <c r="K158" s="130"/>
      <c r="L158" s="130"/>
      <c r="M158" s="130"/>
      <c r="N158" s="174"/>
      <c r="O158" s="321">
        <f t="shared" si="30"/>
        <v>270916</v>
      </c>
    </row>
    <row r="159" spans="1:15" ht="30">
      <c r="A159" s="171" t="s">
        <v>396</v>
      </c>
      <c r="B159" s="188" t="s">
        <v>595</v>
      </c>
      <c r="C159" s="289">
        <f>325021+87016+1303</f>
        <v>413340</v>
      </c>
      <c r="D159" s="38"/>
      <c r="E159" s="38"/>
      <c r="F159" s="113"/>
      <c r="G159" s="131"/>
      <c r="H159" s="131"/>
      <c r="I159" s="118"/>
      <c r="J159" s="130"/>
      <c r="K159" s="130"/>
      <c r="L159" s="130"/>
      <c r="M159" s="130"/>
      <c r="N159" s="174"/>
      <c r="O159" s="321">
        <f t="shared" si="30"/>
        <v>413340</v>
      </c>
    </row>
    <row r="160" spans="1:15" ht="15">
      <c r="A160" s="171" t="s">
        <v>596</v>
      </c>
      <c r="B160" s="188" t="s">
        <v>597</v>
      </c>
      <c r="C160" s="289"/>
      <c r="D160" s="113"/>
      <c r="E160" s="113"/>
      <c r="F160" s="113"/>
      <c r="G160" s="199"/>
      <c r="H160" s="199"/>
      <c r="I160" s="371"/>
      <c r="J160" s="133"/>
      <c r="K160" s="133"/>
      <c r="L160" s="133"/>
      <c r="M160" s="130">
        <v>5208</v>
      </c>
      <c r="N160" s="174"/>
      <c r="O160" s="321">
        <f t="shared" si="30"/>
        <v>5208</v>
      </c>
    </row>
    <row r="161" spans="1:15" ht="15">
      <c r="A161" s="171" t="s">
        <v>115</v>
      </c>
      <c r="B161" s="112" t="s">
        <v>510</v>
      </c>
      <c r="C161" s="289">
        <f>SUM(C162:C166)</f>
        <v>482788</v>
      </c>
      <c r="D161" s="289">
        <f aca="true" t="shared" si="38" ref="D161:N161">SUM(D162:D166)</f>
        <v>0</v>
      </c>
      <c r="E161" s="289">
        <f t="shared" si="38"/>
        <v>1543308</v>
      </c>
      <c r="F161" s="289">
        <f t="shared" si="38"/>
        <v>0</v>
      </c>
      <c r="G161" s="289">
        <f>SUM(G162:G166)</f>
        <v>170672</v>
      </c>
      <c r="H161" s="289">
        <f t="shared" si="38"/>
        <v>63800</v>
      </c>
      <c r="I161" s="289">
        <f>SUM(I162:I166)</f>
        <v>93381</v>
      </c>
      <c r="J161" s="289">
        <f t="shared" si="38"/>
        <v>204531</v>
      </c>
      <c r="K161" s="289">
        <f t="shared" si="38"/>
        <v>25180</v>
      </c>
      <c r="L161" s="289">
        <f t="shared" si="38"/>
        <v>23054</v>
      </c>
      <c r="M161" s="289">
        <f t="shared" si="38"/>
        <v>56698</v>
      </c>
      <c r="N161" s="289">
        <f t="shared" si="38"/>
        <v>52386</v>
      </c>
      <c r="O161" s="321">
        <f t="shared" si="30"/>
        <v>2715798</v>
      </c>
    </row>
    <row r="162" spans="1:15" ht="15">
      <c r="A162" s="171" t="s">
        <v>444</v>
      </c>
      <c r="B162" s="112" t="s">
        <v>511</v>
      </c>
      <c r="C162" s="289"/>
      <c r="D162" s="38"/>
      <c r="E162" s="38">
        <f>275437+5585+15986</f>
        <v>297008</v>
      </c>
      <c r="F162" s="113"/>
      <c r="G162" s="225">
        <v>170672</v>
      </c>
      <c r="H162" s="118">
        <v>63800</v>
      </c>
      <c r="I162" s="118">
        <v>79637</v>
      </c>
      <c r="J162" s="130">
        <v>204531</v>
      </c>
      <c r="K162" s="130">
        <v>25180</v>
      </c>
      <c r="L162" s="130">
        <v>23054</v>
      </c>
      <c r="M162" s="130">
        <v>56698</v>
      </c>
      <c r="N162" s="172">
        <v>52386</v>
      </c>
      <c r="O162" s="321">
        <f t="shared" si="30"/>
        <v>972966</v>
      </c>
    </row>
    <row r="163" spans="1:15" ht="15">
      <c r="A163" s="171" t="s">
        <v>445</v>
      </c>
      <c r="B163" s="112" t="s">
        <v>446</v>
      </c>
      <c r="C163" s="289">
        <v>303290</v>
      </c>
      <c r="D163" s="38"/>
      <c r="E163" s="38"/>
      <c r="F163" s="113"/>
      <c r="G163" s="131"/>
      <c r="H163" s="131"/>
      <c r="I163" s="131"/>
      <c r="J163" s="130"/>
      <c r="K163" s="130"/>
      <c r="L163" s="130"/>
      <c r="M163" s="130"/>
      <c r="N163" s="133"/>
      <c r="O163" s="321">
        <f t="shared" si="30"/>
        <v>303290</v>
      </c>
    </row>
    <row r="164" spans="1:15" ht="15">
      <c r="A164" s="171" t="s">
        <v>598</v>
      </c>
      <c r="B164" s="112" t="s">
        <v>599</v>
      </c>
      <c r="C164" s="289"/>
      <c r="D164" s="38"/>
      <c r="E164" s="38"/>
      <c r="F164" s="113"/>
      <c r="G164" s="131"/>
      <c r="H164" s="131"/>
      <c r="I164" s="118">
        <v>13744</v>
      </c>
      <c r="J164" s="130"/>
      <c r="K164" s="130"/>
      <c r="L164" s="130"/>
      <c r="M164" s="130"/>
      <c r="N164" s="133"/>
      <c r="O164" s="321">
        <f t="shared" si="30"/>
        <v>13744</v>
      </c>
    </row>
    <row r="165" spans="1:19" ht="15">
      <c r="A165" s="171" t="s">
        <v>509</v>
      </c>
      <c r="B165" s="112" t="s">
        <v>162</v>
      </c>
      <c r="C165" s="289"/>
      <c r="D165" s="38"/>
      <c r="E165" s="38">
        <f>1072079+32390+12420+13631+3463-10450</f>
        <v>1123533</v>
      </c>
      <c r="F165" s="113"/>
      <c r="G165" s="131"/>
      <c r="H165" s="131"/>
      <c r="I165" s="131"/>
      <c r="J165" s="130"/>
      <c r="K165" s="130"/>
      <c r="L165" s="130"/>
      <c r="M165" s="130"/>
      <c r="N165" s="133"/>
      <c r="O165" s="321">
        <f t="shared" si="30"/>
        <v>1123533</v>
      </c>
      <c r="P165" s="97"/>
      <c r="Q165" s="97"/>
      <c r="R165" s="97"/>
      <c r="S165" s="97"/>
    </row>
    <row r="166" spans="1:19" ht="15">
      <c r="A166" s="171" t="s">
        <v>600</v>
      </c>
      <c r="B166" s="112" t="s">
        <v>601</v>
      </c>
      <c r="C166" s="289">
        <f>300000-120502</f>
        <v>179498</v>
      </c>
      <c r="D166" s="38"/>
      <c r="E166" s="38">
        <f>120502+2265</f>
        <v>122767</v>
      </c>
      <c r="F166" s="113"/>
      <c r="G166" s="131"/>
      <c r="H166" s="131"/>
      <c r="I166" s="131"/>
      <c r="J166" s="130"/>
      <c r="K166" s="130"/>
      <c r="L166" s="130"/>
      <c r="M166" s="130"/>
      <c r="N166" s="133"/>
      <c r="O166" s="321">
        <f t="shared" si="30"/>
        <v>302265</v>
      </c>
      <c r="P166" s="97"/>
      <c r="Q166" s="97"/>
      <c r="R166" s="97"/>
      <c r="S166" s="97"/>
    </row>
    <row r="167" spans="1:19" s="97" customFormat="1" ht="15">
      <c r="A167" s="169" t="s">
        <v>116</v>
      </c>
      <c r="B167" s="142" t="s">
        <v>282</v>
      </c>
      <c r="C167" s="335">
        <f>SUM(C168:C184)</f>
        <v>1266744</v>
      </c>
      <c r="D167" s="335">
        <f aca="true" t="shared" si="39" ref="D167:M167">SUM(D168:D184)</f>
        <v>0</v>
      </c>
      <c r="E167" s="335">
        <f t="shared" si="39"/>
        <v>44246</v>
      </c>
      <c r="F167" s="335">
        <f t="shared" si="39"/>
        <v>0</v>
      </c>
      <c r="G167" s="335">
        <f t="shared" si="39"/>
        <v>11250</v>
      </c>
      <c r="H167" s="335">
        <f t="shared" si="39"/>
        <v>989</v>
      </c>
      <c r="I167" s="335">
        <f t="shared" si="39"/>
        <v>7749</v>
      </c>
      <c r="J167" s="335">
        <f t="shared" si="39"/>
        <v>2334</v>
      </c>
      <c r="K167" s="335">
        <f t="shared" si="39"/>
        <v>438</v>
      </c>
      <c r="L167" s="335">
        <f t="shared" si="39"/>
        <v>600</v>
      </c>
      <c r="M167" s="335">
        <f t="shared" si="39"/>
        <v>0</v>
      </c>
      <c r="N167" s="335">
        <f>SUM(N168:N184)</f>
        <v>8000</v>
      </c>
      <c r="O167" s="321">
        <f t="shared" si="30"/>
        <v>1342350</v>
      </c>
      <c r="P167" s="94"/>
      <c r="Q167" s="94"/>
      <c r="R167" s="94"/>
      <c r="S167" s="94"/>
    </row>
    <row r="168" spans="1:15" ht="15">
      <c r="A168" s="171" t="s">
        <v>283</v>
      </c>
      <c r="B168" s="188" t="s">
        <v>447</v>
      </c>
      <c r="C168" s="113">
        <f>37023+4150+15454</f>
        <v>56627</v>
      </c>
      <c r="D168" s="38"/>
      <c r="E168" s="38"/>
      <c r="F168" s="113"/>
      <c r="G168" s="118"/>
      <c r="H168" s="131"/>
      <c r="I168" s="118"/>
      <c r="J168" s="130"/>
      <c r="K168" s="130"/>
      <c r="L168" s="130"/>
      <c r="M168" s="130"/>
      <c r="N168" s="133">
        <v>7500</v>
      </c>
      <c r="O168" s="321">
        <f t="shared" si="30"/>
        <v>64127</v>
      </c>
    </row>
    <row r="169" spans="1:15" ht="15">
      <c r="A169" s="171" t="s">
        <v>284</v>
      </c>
      <c r="B169" s="188" t="s">
        <v>163</v>
      </c>
      <c r="C169" s="113">
        <f>49000+3950+25000</f>
        <v>77950</v>
      </c>
      <c r="D169" s="38"/>
      <c r="E169" s="38"/>
      <c r="F169" s="113"/>
      <c r="G169" s="131"/>
      <c r="H169" s="131"/>
      <c r="I169" s="131"/>
      <c r="J169" s="130"/>
      <c r="K169" s="130"/>
      <c r="L169" s="130"/>
      <c r="M169" s="130"/>
      <c r="N169" s="133"/>
      <c r="O169" s="321">
        <f t="shared" si="30"/>
        <v>77950</v>
      </c>
    </row>
    <row r="170" spans="1:15" ht="15">
      <c r="A170" s="171" t="s">
        <v>285</v>
      </c>
      <c r="B170" s="193" t="s">
        <v>164</v>
      </c>
      <c r="C170" s="479">
        <v>500</v>
      </c>
      <c r="D170" s="38"/>
      <c r="E170" s="38"/>
      <c r="F170" s="113"/>
      <c r="G170" s="131"/>
      <c r="H170" s="131"/>
      <c r="I170" s="131"/>
      <c r="J170" s="130"/>
      <c r="K170" s="130"/>
      <c r="L170" s="130"/>
      <c r="M170" s="130"/>
      <c r="N170" s="133"/>
      <c r="O170" s="321">
        <f t="shared" si="30"/>
        <v>500</v>
      </c>
    </row>
    <row r="171" spans="1:15" ht="15">
      <c r="A171" s="171" t="s">
        <v>602</v>
      </c>
      <c r="B171" s="193" t="s">
        <v>603</v>
      </c>
      <c r="C171" s="113">
        <f>177874-76967</f>
        <v>100907</v>
      </c>
      <c r="D171" s="38"/>
      <c r="E171" s="38">
        <f>33046</f>
        <v>33046</v>
      </c>
      <c r="F171" s="113"/>
      <c r="G171" s="131"/>
      <c r="H171" s="131"/>
      <c r="I171" s="131"/>
      <c r="J171" s="130"/>
      <c r="K171" s="130"/>
      <c r="L171" s="130"/>
      <c r="M171" s="130"/>
      <c r="N171" s="133"/>
      <c r="O171" s="321">
        <f t="shared" si="30"/>
        <v>133953</v>
      </c>
    </row>
    <row r="172" spans="1:15" ht="46.5" customHeight="1">
      <c r="A172" s="171" t="s">
        <v>448</v>
      </c>
      <c r="B172" s="193" t="s">
        <v>449</v>
      </c>
      <c r="C172" s="289">
        <f>628489+163962</f>
        <v>792451</v>
      </c>
      <c r="D172" s="38"/>
      <c r="E172" s="38"/>
      <c r="F172" s="113"/>
      <c r="G172" s="131"/>
      <c r="H172" s="131"/>
      <c r="I172" s="131"/>
      <c r="J172" s="130"/>
      <c r="K172" s="130"/>
      <c r="L172" s="130"/>
      <c r="M172" s="130"/>
      <c r="N172" s="133"/>
      <c r="O172" s="321">
        <f t="shared" si="30"/>
        <v>792451</v>
      </c>
    </row>
    <row r="173" spans="1:15" ht="30">
      <c r="A173" s="171" t="s">
        <v>450</v>
      </c>
      <c r="B173" s="193" t="s">
        <v>507</v>
      </c>
      <c r="C173" s="289"/>
      <c r="D173" s="38"/>
      <c r="E173" s="38"/>
      <c r="F173" s="113"/>
      <c r="G173" s="131"/>
      <c r="H173" s="131"/>
      <c r="I173" s="131"/>
      <c r="J173" s="130"/>
      <c r="K173" s="130"/>
      <c r="L173" s="130"/>
      <c r="M173" s="130"/>
      <c r="N173" s="133"/>
      <c r="O173" s="321">
        <f t="shared" si="30"/>
        <v>0</v>
      </c>
    </row>
    <row r="174" spans="1:15" ht="30">
      <c r="A174" s="171" t="s">
        <v>489</v>
      </c>
      <c r="B174" s="188" t="s">
        <v>505</v>
      </c>
      <c r="C174" s="289">
        <f>20000-7381</f>
        <v>12619</v>
      </c>
      <c r="D174" s="38"/>
      <c r="E174" s="38">
        <v>750</v>
      </c>
      <c r="F174" s="113"/>
      <c r="G174" s="118"/>
      <c r="H174" s="118">
        <v>989</v>
      </c>
      <c r="I174" s="118">
        <f>1770-21</f>
        <v>1749</v>
      </c>
      <c r="J174" s="130">
        <v>2334</v>
      </c>
      <c r="K174" s="130">
        <v>438</v>
      </c>
      <c r="L174" s="130">
        <v>600</v>
      </c>
      <c r="M174" s="130"/>
      <c r="N174" s="133">
        <v>500</v>
      </c>
      <c r="O174" s="321">
        <f t="shared" si="30"/>
        <v>19979</v>
      </c>
    </row>
    <row r="175" spans="1:15" ht="30">
      <c r="A175" s="171" t="s">
        <v>494</v>
      </c>
      <c r="B175" s="188" t="s">
        <v>506</v>
      </c>
      <c r="C175" s="289">
        <f>292700-250350</f>
        <v>42350</v>
      </c>
      <c r="D175" s="38"/>
      <c r="E175" s="38"/>
      <c r="F175" s="113"/>
      <c r="G175" s="131"/>
      <c r="H175" s="131"/>
      <c r="I175" s="131"/>
      <c r="J175" s="130"/>
      <c r="K175" s="130"/>
      <c r="L175" s="130"/>
      <c r="M175" s="130"/>
      <c r="N175" s="133"/>
      <c r="O175" s="321">
        <f t="shared" si="30"/>
        <v>42350</v>
      </c>
    </row>
    <row r="176" spans="1:15" ht="15">
      <c r="A176" s="171" t="s">
        <v>340</v>
      </c>
      <c r="B176" s="336" t="s">
        <v>451</v>
      </c>
      <c r="C176" s="289"/>
      <c r="D176" s="38"/>
      <c r="E176" s="38"/>
      <c r="F176" s="113"/>
      <c r="G176" s="131"/>
      <c r="H176" s="131"/>
      <c r="I176" s="118"/>
      <c r="J176" s="130"/>
      <c r="K176" s="130"/>
      <c r="L176" s="130"/>
      <c r="M176" s="130"/>
      <c r="N176" s="133"/>
      <c r="O176" s="321">
        <f t="shared" si="30"/>
        <v>0</v>
      </c>
    </row>
    <row r="177" spans="1:15" ht="30">
      <c r="A177" s="171" t="s">
        <v>639</v>
      </c>
      <c r="B177" s="502" t="s">
        <v>644</v>
      </c>
      <c r="C177" s="289">
        <v>187</v>
      </c>
      <c r="D177" s="38"/>
      <c r="E177" s="38">
        <v>10450</v>
      </c>
      <c r="F177" s="113"/>
      <c r="G177" s="131"/>
      <c r="H177" s="131"/>
      <c r="I177" s="118"/>
      <c r="J177" s="130"/>
      <c r="K177" s="130"/>
      <c r="L177" s="130"/>
      <c r="M177" s="130"/>
      <c r="N177" s="133"/>
      <c r="O177" s="321">
        <f t="shared" si="30"/>
        <v>10637</v>
      </c>
    </row>
    <row r="178" spans="1:15" ht="45">
      <c r="A178" s="171" t="s">
        <v>369</v>
      </c>
      <c r="B178" s="234" t="s">
        <v>484</v>
      </c>
      <c r="C178" s="289">
        <v>20000</v>
      </c>
      <c r="D178" s="38"/>
      <c r="E178" s="38"/>
      <c r="F178" s="113"/>
      <c r="G178" s="131"/>
      <c r="H178" s="131"/>
      <c r="I178" s="131"/>
      <c r="J178" s="130"/>
      <c r="K178" s="130"/>
      <c r="L178" s="130"/>
      <c r="M178" s="130"/>
      <c r="N178" s="133"/>
      <c r="O178" s="321">
        <f t="shared" si="30"/>
        <v>20000</v>
      </c>
    </row>
    <row r="179" spans="1:15" ht="30">
      <c r="A179" s="171" t="s">
        <v>531</v>
      </c>
      <c r="B179" s="255" t="s">
        <v>533</v>
      </c>
      <c r="C179" s="289">
        <v>48580</v>
      </c>
      <c r="D179" s="113"/>
      <c r="E179" s="113"/>
      <c r="F179" s="113"/>
      <c r="G179" s="199"/>
      <c r="H179" s="199"/>
      <c r="I179" s="199"/>
      <c r="J179" s="133"/>
      <c r="K179" s="133"/>
      <c r="L179" s="133"/>
      <c r="M179" s="133"/>
      <c r="N179" s="133"/>
      <c r="O179" s="321">
        <f t="shared" si="30"/>
        <v>48580</v>
      </c>
    </row>
    <row r="180" spans="1:15" ht="30">
      <c r="A180" s="171" t="s">
        <v>604</v>
      </c>
      <c r="B180" s="255" t="s">
        <v>605</v>
      </c>
      <c r="C180" s="289">
        <v>92876</v>
      </c>
      <c r="D180" s="113"/>
      <c r="E180" s="113"/>
      <c r="F180" s="113"/>
      <c r="G180" s="199"/>
      <c r="H180" s="199"/>
      <c r="I180" s="199"/>
      <c r="J180" s="133"/>
      <c r="K180" s="133"/>
      <c r="L180" s="133"/>
      <c r="M180" s="133"/>
      <c r="N180" s="133"/>
      <c r="O180" s="321">
        <f t="shared" si="30"/>
        <v>92876</v>
      </c>
    </row>
    <row r="181" spans="1:15" ht="60.75" customHeight="1">
      <c r="A181" s="171" t="s">
        <v>606</v>
      </c>
      <c r="B181" s="255" t="s">
        <v>607</v>
      </c>
      <c r="C181" s="289">
        <f>47339-22000-3642</f>
        <v>21697</v>
      </c>
      <c r="D181" s="113"/>
      <c r="E181" s="113"/>
      <c r="F181" s="113"/>
      <c r="G181" s="199"/>
      <c r="H181" s="199"/>
      <c r="I181" s="199"/>
      <c r="J181" s="133"/>
      <c r="K181" s="133"/>
      <c r="L181" s="133"/>
      <c r="M181" s="133"/>
      <c r="N181" s="133"/>
      <c r="O181" s="321">
        <f t="shared" si="30"/>
        <v>21697</v>
      </c>
    </row>
    <row r="182" spans="1:15" ht="15">
      <c r="A182" s="171" t="s">
        <v>608</v>
      </c>
      <c r="B182" s="188" t="s">
        <v>609</v>
      </c>
      <c r="C182" s="289"/>
      <c r="D182" s="113"/>
      <c r="E182" s="113"/>
      <c r="F182" s="113"/>
      <c r="G182" s="199"/>
      <c r="H182" s="199"/>
      <c r="I182" s="371">
        <v>6000</v>
      </c>
      <c r="J182" s="133"/>
      <c r="K182" s="133"/>
      <c r="L182" s="133"/>
      <c r="M182" s="133"/>
      <c r="N182" s="133"/>
      <c r="O182" s="321">
        <f t="shared" si="30"/>
        <v>6000</v>
      </c>
    </row>
    <row r="183" spans="1:15" ht="15">
      <c r="A183" s="171" t="s">
        <v>671</v>
      </c>
      <c r="B183" s="510" t="s">
        <v>672</v>
      </c>
      <c r="C183" s="289"/>
      <c r="D183" s="113"/>
      <c r="E183" s="113"/>
      <c r="F183" s="113"/>
      <c r="G183" s="371">
        <v>11250</v>
      </c>
      <c r="H183" s="199"/>
      <c r="I183" s="371"/>
      <c r="J183" s="133"/>
      <c r="K183" s="133"/>
      <c r="L183" s="133"/>
      <c r="M183" s="133"/>
      <c r="N183" s="133"/>
      <c r="O183" s="321">
        <f t="shared" si="30"/>
        <v>11250</v>
      </c>
    </row>
    <row r="184" spans="1:15" ht="15">
      <c r="A184" s="171" t="s">
        <v>532</v>
      </c>
      <c r="B184" s="255" t="s">
        <v>534</v>
      </c>
      <c r="C184" s="289"/>
      <c r="D184" s="113"/>
      <c r="E184" s="113"/>
      <c r="F184" s="113"/>
      <c r="G184" s="199"/>
      <c r="H184" s="199"/>
      <c r="I184" s="199"/>
      <c r="J184" s="133"/>
      <c r="K184" s="133"/>
      <c r="L184" s="133"/>
      <c r="M184" s="133"/>
      <c r="N184" s="133"/>
      <c r="O184" s="321">
        <f t="shared" si="30"/>
        <v>0</v>
      </c>
    </row>
    <row r="185" spans="1:15" ht="15">
      <c r="A185" s="169" t="s">
        <v>512</v>
      </c>
      <c r="B185" s="362" t="s">
        <v>513</v>
      </c>
      <c r="C185" s="320">
        <f>C186+C187</f>
        <v>151484</v>
      </c>
      <c r="D185" s="320">
        <f aca="true" t="shared" si="40" ref="D185:M185">D186+D187</f>
        <v>0</v>
      </c>
      <c r="E185" s="320">
        <f t="shared" si="40"/>
        <v>0</v>
      </c>
      <c r="F185" s="320">
        <f t="shared" si="40"/>
        <v>0</v>
      </c>
      <c r="G185" s="320">
        <f t="shared" si="40"/>
        <v>0</v>
      </c>
      <c r="H185" s="320">
        <f t="shared" si="40"/>
        <v>0</v>
      </c>
      <c r="I185" s="320">
        <f t="shared" si="40"/>
        <v>3130</v>
      </c>
      <c r="J185" s="320">
        <f t="shared" si="40"/>
        <v>1307</v>
      </c>
      <c r="K185" s="320">
        <f t="shared" si="40"/>
        <v>0</v>
      </c>
      <c r="L185" s="320">
        <f t="shared" si="40"/>
        <v>0</v>
      </c>
      <c r="M185" s="320">
        <f t="shared" si="40"/>
        <v>0</v>
      </c>
      <c r="N185" s="320">
        <f>N186+N187</f>
        <v>0</v>
      </c>
      <c r="O185" s="321">
        <f t="shared" si="30"/>
        <v>155921</v>
      </c>
    </row>
    <row r="186" spans="1:15" ht="15">
      <c r="A186" s="169" t="s">
        <v>610</v>
      </c>
      <c r="B186" s="142" t="s">
        <v>117</v>
      </c>
      <c r="C186" s="170">
        <f>34987+5013-7000</f>
        <v>33000</v>
      </c>
      <c r="D186" s="54"/>
      <c r="E186" s="54"/>
      <c r="F186" s="170"/>
      <c r="G186" s="131"/>
      <c r="H186" s="131"/>
      <c r="I186" s="131"/>
      <c r="J186" s="130"/>
      <c r="K186" s="130"/>
      <c r="L186" s="130"/>
      <c r="M186" s="130"/>
      <c r="N186" s="133"/>
      <c r="O186" s="321">
        <f aca="true" t="shared" si="41" ref="O186:O255">SUM(C186:N186)</f>
        <v>33000</v>
      </c>
    </row>
    <row r="187" spans="1:15" ht="21" customHeight="1">
      <c r="A187" s="169" t="s">
        <v>611</v>
      </c>
      <c r="B187" s="142" t="s">
        <v>118</v>
      </c>
      <c r="C187" s="170">
        <f>91484+20000+7000</f>
        <v>118484</v>
      </c>
      <c r="D187" s="54"/>
      <c r="E187" s="54"/>
      <c r="F187" s="170"/>
      <c r="G187" s="131"/>
      <c r="H187" s="131"/>
      <c r="I187" s="118">
        <v>3130</v>
      </c>
      <c r="J187" s="130">
        <v>1307</v>
      </c>
      <c r="K187" s="130"/>
      <c r="L187" s="130"/>
      <c r="M187" s="130"/>
      <c r="N187" s="133"/>
      <c r="O187" s="321">
        <f t="shared" si="41"/>
        <v>122921</v>
      </c>
    </row>
    <row r="188" spans="1:15" ht="30" thickBot="1">
      <c r="A188" s="354" t="s">
        <v>612</v>
      </c>
      <c r="B188" s="337" t="s">
        <v>452</v>
      </c>
      <c r="C188" s="290">
        <f>15000+5664-5664</f>
        <v>15000</v>
      </c>
      <c r="D188" s="291"/>
      <c r="E188" s="291"/>
      <c r="F188" s="290"/>
      <c r="G188" s="183"/>
      <c r="H188" s="183"/>
      <c r="I188" s="230"/>
      <c r="J188" s="184"/>
      <c r="K188" s="184"/>
      <c r="L188" s="184"/>
      <c r="M188" s="184"/>
      <c r="N188" s="194"/>
      <c r="O188" s="321">
        <f t="shared" si="41"/>
        <v>15000</v>
      </c>
    </row>
    <row r="189" spans="1:15" ht="15.75" thickBot="1">
      <c r="A189" s="196" t="s">
        <v>119</v>
      </c>
      <c r="B189" s="189" t="s">
        <v>8</v>
      </c>
      <c r="C189" s="338">
        <f>C190+C202+C203+C213+C220+C223+C224</f>
        <v>15212001</v>
      </c>
      <c r="D189" s="106">
        <f aca="true" t="shared" si="42" ref="D189:N189">D190+D202+D203+D213+D220+D223+D224</f>
        <v>0</v>
      </c>
      <c r="E189" s="106">
        <f t="shared" si="42"/>
        <v>0</v>
      </c>
      <c r="F189" s="106">
        <f t="shared" si="42"/>
        <v>0</v>
      </c>
      <c r="G189" s="106">
        <f t="shared" si="42"/>
        <v>1686650</v>
      </c>
      <c r="H189" s="106">
        <f t="shared" si="42"/>
        <v>0</v>
      </c>
      <c r="I189" s="106">
        <f t="shared" si="42"/>
        <v>468553</v>
      </c>
      <c r="J189" s="106">
        <f t="shared" si="42"/>
        <v>1306363</v>
      </c>
      <c r="K189" s="106">
        <f t="shared" si="42"/>
        <v>26924</v>
      </c>
      <c r="L189" s="106">
        <f t="shared" si="42"/>
        <v>45403</v>
      </c>
      <c r="M189" s="106">
        <f t="shared" si="42"/>
        <v>26038</v>
      </c>
      <c r="N189" s="106">
        <f t="shared" si="42"/>
        <v>614126</v>
      </c>
      <c r="O189" s="307">
        <f t="shared" si="41"/>
        <v>19386058</v>
      </c>
    </row>
    <row r="190" spans="1:15" ht="15">
      <c r="A190" s="165" t="s">
        <v>120</v>
      </c>
      <c r="B190" s="166" t="s">
        <v>286</v>
      </c>
      <c r="C190" s="318">
        <f>SUM(C191:C201)</f>
        <v>4604936</v>
      </c>
      <c r="D190" s="318">
        <f aca="true" t="shared" si="43" ref="D190:N190">SUM(D191:D201)</f>
        <v>0</v>
      </c>
      <c r="E190" s="318">
        <f t="shared" si="43"/>
        <v>0</v>
      </c>
      <c r="F190" s="318">
        <f t="shared" si="43"/>
        <v>0</v>
      </c>
      <c r="G190" s="318">
        <f t="shared" si="43"/>
        <v>0</v>
      </c>
      <c r="H190" s="318">
        <f t="shared" si="43"/>
        <v>0</v>
      </c>
      <c r="I190" s="318">
        <f>SUM(I191:I201)</f>
        <v>77743</v>
      </c>
      <c r="J190" s="318">
        <f t="shared" si="43"/>
        <v>340511</v>
      </c>
      <c r="K190" s="318">
        <f t="shared" si="43"/>
        <v>0</v>
      </c>
      <c r="L190" s="318">
        <f t="shared" si="43"/>
        <v>0</v>
      </c>
      <c r="M190" s="318">
        <f t="shared" si="43"/>
        <v>0</v>
      </c>
      <c r="N190" s="318">
        <f t="shared" si="43"/>
        <v>0</v>
      </c>
      <c r="O190" s="329">
        <f t="shared" si="41"/>
        <v>5023190</v>
      </c>
    </row>
    <row r="191" spans="1:15" ht="15.75" customHeight="1">
      <c r="A191" s="171" t="s">
        <v>287</v>
      </c>
      <c r="B191" s="197" t="s">
        <v>121</v>
      </c>
      <c r="C191" s="236">
        <f>293569-2514-111742</f>
        <v>179313</v>
      </c>
      <c r="D191" s="38"/>
      <c r="E191" s="38"/>
      <c r="F191" s="113"/>
      <c r="G191" s="131"/>
      <c r="H191" s="131"/>
      <c r="I191" s="131"/>
      <c r="J191" s="130"/>
      <c r="K191" s="130"/>
      <c r="L191" s="130"/>
      <c r="M191" s="130"/>
      <c r="N191" s="133"/>
      <c r="O191" s="321">
        <f t="shared" si="41"/>
        <v>179313</v>
      </c>
    </row>
    <row r="192" spans="1:15" ht="15">
      <c r="A192" s="171" t="s">
        <v>288</v>
      </c>
      <c r="B192" s="197" t="s">
        <v>122</v>
      </c>
      <c r="C192" s="289">
        <f>573919+111558+2514+46658</f>
        <v>734649</v>
      </c>
      <c r="D192" s="38"/>
      <c r="E192" s="38"/>
      <c r="F192" s="113"/>
      <c r="G192" s="131"/>
      <c r="H192" s="131"/>
      <c r="I192" s="131"/>
      <c r="J192" s="130"/>
      <c r="K192" s="130"/>
      <c r="L192" s="130"/>
      <c r="M192" s="130"/>
      <c r="N192" s="133"/>
      <c r="O192" s="321">
        <f t="shared" si="41"/>
        <v>734649</v>
      </c>
    </row>
    <row r="193" spans="1:15" ht="15">
      <c r="A193" s="171" t="s">
        <v>289</v>
      </c>
      <c r="B193" s="197" t="s">
        <v>123</v>
      </c>
      <c r="C193" s="289">
        <f>590465+31215</f>
        <v>621680</v>
      </c>
      <c r="D193" s="38"/>
      <c r="E193" s="38"/>
      <c r="F193" s="113"/>
      <c r="G193" s="131"/>
      <c r="H193" s="131"/>
      <c r="I193" s="131"/>
      <c r="J193" s="130"/>
      <c r="K193" s="130"/>
      <c r="L193" s="130"/>
      <c r="M193" s="130"/>
      <c r="N193" s="133"/>
      <c r="O193" s="321">
        <f t="shared" si="41"/>
        <v>621680</v>
      </c>
    </row>
    <row r="194" spans="1:15" ht="15">
      <c r="A194" s="171" t="s">
        <v>290</v>
      </c>
      <c r="B194" s="197" t="s">
        <v>124</v>
      </c>
      <c r="C194" s="289">
        <f>614373+8575+38954</f>
        <v>661902</v>
      </c>
      <c r="D194" s="38"/>
      <c r="E194" s="38"/>
      <c r="F194" s="113"/>
      <c r="G194" s="131"/>
      <c r="H194" s="131"/>
      <c r="I194" s="131"/>
      <c r="J194" s="130"/>
      <c r="K194" s="130"/>
      <c r="L194" s="130"/>
      <c r="M194" s="130"/>
      <c r="N194" s="133"/>
      <c r="O194" s="321">
        <f t="shared" si="41"/>
        <v>661902</v>
      </c>
    </row>
    <row r="195" spans="1:15" ht="15">
      <c r="A195" s="171" t="s">
        <v>291</v>
      </c>
      <c r="B195" s="197" t="s">
        <v>125</v>
      </c>
      <c r="C195" s="289">
        <f>698884-676+31037</f>
        <v>729245</v>
      </c>
      <c r="D195" s="38"/>
      <c r="E195" s="38"/>
      <c r="F195" s="113"/>
      <c r="G195" s="131"/>
      <c r="H195" s="131"/>
      <c r="I195" s="118"/>
      <c r="J195" s="130"/>
      <c r="K195" s="130"/>
      <c r="L195" s="130"/>
      <c r="M195" s="130"/>
      <c r="N195" s="133"/>
      <c r="O195" s="321">
        <f t="shared" si="41"/>
        <v>729245</v>
      </c>
    </row>
    <row r="196" spans="1:15" ht="15">
      <c r="A196" s="171" t="s">
        <v>292</v>
      </c>
      <c r="B196" s="197" t="s">
        <v>126</v>
      </c>
      <c r="C196" s="479">
        <f>378148+6750+10247+4000</f>
        <v>399145</v>
      </c>
      <c r="D196" s="38"/>
      <c r="E196" s="38"/>
      <c r="F196" s="113"/>
      <c r="G196" s="131"/>
      <c r="H196" s="131"/>
      <c r="I196" s="131"/>
      <c r="J196" s="130"/>
      <c r="K196" s="130"/>
      <c r="L196" s="130"/>
      <c r="M196" s="130"/>
      <c r="N196" s="133"/>
      <c r="O196" s="321">
        <f t="shared" si="41"/>
        <v>399145</v>
      </c>
    </row>
    <row r="197" spans="1:15" ht="15">
      <c r="A197" s="171" t="s">
        <v>293</v>
      </c>
      <c r="B197" s="197" t="s">
        <v>165</v>
      </c>
      <c r="C197" s="289">
        <f>548497+143876-816+30921+5000</f>
        <v>727478</v>
      </c>
      <c r="D197" s="38"/>
      <c r="E197" s="38"/>
      <c r="F197" s="113"/>
      <c r="G197" s="131"/>
      <c r="H197" s="131"/>
      <c r="I197" s="131"/>
      <c r="J197" s="130"/>
      <c r="K197" s="130"/>
      <c r="L197" s="130"/>
      <c r="M197" s="130"/>
      <c r="N197" s="133"/>
      <c r="O197" s="321">
        <f t="shared" si="41"/>
        <v>727478</v>
      </c>
    </row>
    <row r="198" spans="1:15" ht="15">
      <c r="A198" s="171" t="s">
        <v>294</v>
      </c>
      <c r="B198" s="197" t="s">
        <v>186</v>
      </c>
      <c r="C198" s="289">
        <f>385037+21087</f>
        <v>406124</v>
      </c>
      <c r="D198" s="113"/>
      <c r="E198" s="113"/>
      <c r="F198" s="113"/>
      <c r="G198" s="131"/>
      <c r="H198" s="131"/>
      <c r="I198" s="118"/>
      <c r="J198" s="133"/>
      <c r="K198" s="133"/>
      <c r="L198" s="133"/>
      <c r="M198" s="133"/>
      <c r="N198" s="133"/>
      <c r="O198" s="321">
        <f t="shared" si="41"/>
        <v>406124</v>
      </c>
    </row>
    <row r="199" spans="1:15" ht="15">
      <c r="A199" s="171" t="s">
        <v>295</v>
      </c>
      <c r="B199" s="197" t="s">
        <v>187</v>
      </c>
      <c r="C199" s="289"/>
      <c r="D199" s="113"/>
      <c r="E199" s="113"/>
      <c r="F199" s="113"/>
      <c r="G199" s="131"/>
      <c r="H199" s="131"/>
      <c r="I199" s="131"/>
      <c r="J199" s="130">
        <v>340511</v>
      </c>
      <c r="K199" s="133"/>
      <c r="L199" s="133"/>
      <c r="M199" s="133"/>
      <c r="N199" s="133"/>
      <c r="O199" s="321">
        <f t="shared" si="41"/>
        <v>340511</v>
      </c>
    </row>
    <row r="200" spans="1:15" ht="30">
      <c r="A200" s="171" t="s">
        <v>296</v>
      </c>
      <c r="B200" s="197" t="s">
        <v>495</v>
      </c>
      <c r="C200" s="289">
        <f>140400+5000</f>
        <v>145400</v>
      </c>
      <c r="D200" s="113"/>
      <c r="E200" s="113"/>
      <c r="F200" s="113"/>
      <c r="G200" s="131"/>
      <c r="H200" s="131"/>
      <c r="I200" s="131"/>
      <c r="J200" s="133"/>
      <c r="K200" s="133"/>
      <c r="L200" s="133"/>
      <c r="M200" s="133"/>
      <c r="N200" s="195"/>
      <c r="O200" s="321">
        <f t="shared" si="41"/>
        <v>145400</v>
      </c>
    </row>
    <row r="201" spans="1:15" ht="15">
      <c r="A201" s="171" t="s">
        <v>527</v>
      </c>
      <c r="B201" s="197" t="s">
        <v>125</v>
      </c>
      <c r="C201" s="289"/>
      <c r="D201" s="113"/>
      <c r="E201" s="113"/>
      <c r="F201" s="113"/>
      <c r="G201" s="131"/>
      <c r="H201" s="199"/>
      <c r="I201" s="371">
        <f>129333-51590</f>
        <v>77743</v>
      </c>
      <c r="J201" s="133"/>
      <c r="K201" s="133"/>
      <c r="L201" s="133"/>
      <c r="M201" s="133"/>
      <c r="N201" s="133"/>
      <c r="O201" s="321">
        <f t="shared" si="41"/>
        <v>77743</v>
      </c>
    </row>
    <row r="202" spans="1:15" ht="15">
      <c r="A202" s="169" t="s">
        <v>128</v>
      </c>
      <c r="B202" s="198" t="s">
        <v>297</v>
      </c>
      <c r="C202" s="289">
        <f>1048891+6893+304668+8500</f>
        <v>1368952</v>
      </c>
      <c r="D202" s="113"/>
      <c r="E202" s="113"/>
      <c r="F202" s="113"/>
      <c r="G202" s="225"/>
      <c r="H202" s="199"/>
      <c r="I202" s="199"/>
      <c r="J202" s="133"/>
      <c r="K202" s="133"/>
      <c r="L202" s="133"/>
      <c r="M202" s="133"/>
      <c r="N202" s="133"/>
      <c r="O202" s="321">
        <f t="shared" si="41"/>
        <v>1368952</v>
      </c>
    </row>
    <row r="203" spans="1:15" ht="29.25">
      <c r="A203" s="169" t="s">
        <v>190</v>
      </c>
      <c r="B203" s="142" t="s">
        <v>298</v>
      </c>
      <c r="C203" s="320">
        <f>SUM(C204:C212)</f>
        <v>5358414</v>
      </c>
      <c r="D203" s="170">
        <f aca="true" t="shared" si="44" ref="D203:N203">SUM(D204:D212)</f>
        <v>0</v>
      </c>
      <c r="E203" s="170">
        <f t="shared" si="44"/>
        <v>0</v>
      </c>
      <c r="F203" s="170">
        <f t="shared" si="44"/>
        <v>0</v>
      </c>
      <c r="G203" s="54">
        <f t="shared" si="44"/>
        <v>1660230</v>
      </c>
      <c r="H203" s="170">
        <f t="shared" si="44"/>
        <v>0</v>
      </c>
      <c r="I203" s="170">
        <f t="shared" si="44"/>
        <v>369156</v>
      </c>
      <c r="J203" s="170">
        <f t="shared" si="44"/>
        <v>655355</v>
      </c>
      <c r="K203" s="170">
        <f t="shared" si="44"/>
        <v>0</v>
      </c>
      <c r="L203" s="170">
        <f t="shared" si="44"/>
        <v>21632</v>
      </c>
      <c r="M203" s="170">
        <f t="shared" si="44"/>
        <v>10750</v>
      </c>
      <c r="N203" s="170">
        <f t="shared" si="44"/>
        <v>594286</v>
      </c>
      <c r="O203" s="321">
        <f t="shared" si="41"/>
        <v>8669823</v>
      </c>
    </row>
    <row r="204" spans="1:15" ht="15">
      <c r="A204" s="171" t="s">
        <v>299</v>
      </c>
      <c r="B204" s="197" t="s">
        <v>129</v>
      </c>
      <c r="C204" s="289">
        <f>1825124+26271+2530+607508+9077</f>
        <v>2470510</v>
      </c>
      <c r="D204" s="38"/>
      <c r="E204" s="38"/>
      <c r="F204" s="113"/>
      <c r="G204" s="131"/>
      <c r="H204" s="131"/>
      <c r="I204" s="131"/>
      <c r="J204" s="130"/>
      <c r="K204" s="130"/>
      <c r="L204" s="130"/>
      <c r="M204" s="130"/>
      <c r="N204" s="133"/>
      <c r="O204" s="321">
        <f t="shared" si="41"/>
        <v>2470510</v>
      </c>
    </row>
    <row r="205" spans="1:15" ht="15">
      <c r="A205" s="171" t="s">
        <v>300</v>
      </c>
      <c r="B205" s="197" t="s">
        <v>301</v>
      </c>
      <c r="C205" s="289">
        <f>852395+265280+11482</f>
        <v>1129157</v>
      </c>
      <c r="D205" s="38"/>
      <c r="E205" s="38"/>
      <c r="F205" s="113"/>
      <c r="G205" s="131"/>
      <c r="H205" s="131"/>
      <c r="I205" s="131"/>
      <c r="J205" s="130"/>
      <c r="K205" s="130"/>
      <c r="L205" s="130"/>
      <c r="M205" s="130"/>
      <c r="N205" s="133"/>
      <c r="O205" s="321">
        <f t="shared" si="41"/>
        <v>1129157</v>
      </c>
    </row>
    <row r="206" spans="1:15" ht="15">
      <c r="A206" s="171" t="s">
        <v>302</v>
      </c>
      <c r="B206" s="197" t="s">
        <v>130</v>
      </c>
      <c r="C206" s="289">
        <f>996492+22925-101+3570+268748</f>
        <v>1291634</v>
      </c>
      <c r="D206" s="38"/>
      <c r="E206" s="38"/>
      <c r="F206" s="113"/>
      <c r="G206" s="131"/>
      <c r="H206" s="131"/>
      <c r="I206" s="131"/>
      <c r="J206" s="130"/>
      <c r="K206" s="130"/>
      <c r="L206" s="130"/>
      <c r="M206" s="130"/>
      <c r="N206" s="133"/>
      <c r="O206" s="321">
        <f t="shared" si="41"/>
        <v>1291634</v>
      </c>
    </row>
    <row r="207" spans="1:15" ht="15">
      <c r="A207" s="171" t="s">
        <v>303</v>
      </c>
      <c r="B207" s="112" t="s">
        <v>131</v>
      </c>
      <c r="C207" s="289">
        <f>383301+4000+79812</f>
        <v>467113</v>
      </c>
      <c r="D207" s="38"/>
      <c r="E207" s="38"/>
      <c r="F207" s="113"/>
      <c r="G207" s="131"/>
      <c r="H207" s="131"/>
      <c r="I207" s="131"/>
      <c r="J207" s="130"/>
      <c r="K207" s="130"/>
      <c r="L207" s="130"/>
      <c r="M207" s="130"/>
      <c r="N207" s="133"/>
      <c r="O207" s="321">
        <f t="shared" si="41"/>
        <v>467113</v>
      </c>
    </row>
    <row r="208" spans="1:15" ht="15">
      <c r="A208" s="171" t="s">
        <v>304</v>
      </c>
      <c r="B208" s="112" t="s">
        <v>188</v>
      </c>
      <c r="C208" s="289"/>
      <c r="D208" s="38"/>
      <c r="E208" s="38"/>
      <c r="F208" s="113"/>
      <c r="G208" s="131"/>
      <c r="H208" s="131"/>
      <c r="I208" s="118">
        <v>369156</v>
      </c>
      <c r="J208" s="133"/>
      <c r="K208" s="133"/>
      <c r="L208" s="133"/>
      <c r="M208" s="133"/>
      <c r="N208" s="133"/>
      <c r="O208" s="321">
        <f t="shared" si="41"/>
        <v>369156</v>
      </c>
    </row>
    <row r="209" spans="1:15" ht="15">
      <c r="A209" s="171" t="s">
        <v>305</v>
      </c>
      <c r="B209" s="112" t="s">
        <v>189</v>
      </c>
      <c r="C209" s="289"/>
      <c r="D209" s="38"/>
      <c r="E209" s="38"/>
      <c r="F209" s="113"/>
      <c r="G209" s="131"/>
      <c r="H209" s="131"/>
      <c r="I209" s="118"/>
      <c r="J209" s="130">
        <v>655355</v>
      </c>
      <c r="K209" s="133"/>
      <c r="L209" s="133"/>
      <c r="M209" s="133"/>
      <c r="N209" s="133"/>
      <c r="O209" s="321">
        <f t="shared" si="41"/>
        <v>655355</v>
      </c>
    </row>
    <row r="210" spans="1:15" ht="15">
      <c r="A210" s="171" t="s">
        <v>306</v>
      </c>
      <c r="B210" s="112" t="s">
        <v>352</v>
      </c>
      <c r="C210" s="289"/>
      <c r="D210" s="38"/>
      <c r="E210" s="38"/>
      <c r="F210" s="113"/>
      <c r="G210" s="131"/>
      <c r="H210" s="131"/>
      <c r="I210" s="118"/>
      <c r="J210" s="133"/>
      <c r="K210" s="133"/>
      <c r="L210" s="133">
        <v>21632</v>
      </c>
      <c r="M210" s="133">
        <v>10750</v>
      </c>
      <c r="N210" s="130">
        <v>594286</v>
      </c>
      <c r="O210" s="321">
        <f t="shared" si="41"/>
        <v>626668</v>
      </c>
    </row>
    <row r="211" spans="1:15" ht="15">
      <c r="A211" s="171" t="s">
        <v>307</v>
      </c>
      <c r="B211" s="112" t="s">
        <v>191</v>
      </c>
      <c r="C211" s="289"/>
      <c r="D211" s="38"/>
      <c r="E211" s="38"/>
      <c r="F211" s="113"/>
      <c r="G211" s="225">
        <v>1082819</v>
      </c>
      <c r="H211" s="131"/>
      <c r="I211" s="118"/>
      <c r="J211" s="133"/>
      <c r="K211" s="133"/>
      <c r="L211" s="133"/>
      <c r="M211" s="133"/>
      <c r="N211" s="133"/>
      <c r="O211" s="321">
        <f t="shared" si="41"/>
        <v>1082819</v>
      </c>
    </row>
    <row r="212" spans="1:15" ht="15">
      <c r="A212" s="171" t="s">
        <v>308</v>
      </c>
      <c r="B212" s="112" t="s">
        <v>192</v>
      </c>
      <c r="C212" s="289"/>
      <c r="D212" s="113"/>
      <c r="E212" s="113"/>
      <c r="F212" s="113"/>
      <c r="G212" s="225">
        <v>577411</v>
      </c>
      <c r="H212" s="118"/>
      <c r="I212" s="118"/>
      <c r="J212" s="133"/>
      <c r="K212" s="133"/>
      <c r="L212" s="133"/>
      <c r="M212" s="133"/>
      <c r="N212" s="133"/>
      <c r="O212" s="321">
        <f t="shared" si="41"/>
        <v>577411</v>
      </c>
    </row>
    <row r="213" spans="1:15" ht="15" customHeight="1">
      <c r="A213" s="169" t="s">
        <v>132</v>
      </c>
      <c r="B213" s="142" t="s">
        <v>133</v>
      </c>
      <c r="C213" s="320">
        <f>SUM(C214:C219)</f>
        <v>2505405</v>
      </c>
      <c r="D213" s="170">
        <f aca="true" t="shared" si="45" ref="D213:N213">SUM(D214:D219)</f>
        <v>0</v>
      </c>
      <c r="E213" s="170">
        <f t="shared" si="45"/>
        <v>0</v>
      </c>
      <c r="F213" s="170">
        <f t="shared" si="45"/>
        <v>0</v>
      </c>
      <c r="G213" s="54">
        <f t="shared" si="45"/>
        <v>0</v>
      </c>
      <c r="H213" s="170">
        <f t="shared" si="45"/>
        <v>0</v>
      </c>
      <c r="I213" s="170">
        <f t="shared" si="45"/>
        <v>0</v>
      </c>
      <c r="J213" s="170">
        <f t="shared" si="45"/>
        <v>182788</v>
      </c>
      <c r="K213" s="170">
        <f t="shared" si="45"/>
        <v>0</v>
      </c>
      <c r="L213" s="170">
        <f t="shared" si="45"/>
        <v>0</v>
      </c>
      <c r="M213" s="170">
        <f t="shared" si="45"/>
        <v>0</v>
      </c>
      <c r="N213" s="170">
        <f t="shared" si="45"/>
        <v>0</v>
      </c>
      <c r="O213" s="321">
        <f t="shared" si="41"/>
        <v>2688193</v>
      </c>
    </row>
    <row r="214" spans="1:15" ht="15">
      <c r="A214" s="171" t="s">
        <v>309</v>
      </c>
      <c r="B214" s="112" t="s">
        <v>17</v>
      </c>
      <c r="C214" s="113">
        <f>755791+27186+172+1887+15869</f>
        <v>800905</v>
      </c>
      <c r="D214" s="38"/>
      <c r="E214" s="38"/>
      <c r="F214" s="113"/>
      <c r="G214" s="131"/>
      <c r="H214" s="131"/>
      <c r="I214" s="131"/>
      <c r="J214" s="130"/>
      <c r="K214" s="130"/>
      <c r="L214" s="130"/>
      <c r="M214" s="130"/>
      <c r="N214" s="133"/>
      <c r="O214" s="321">
        <f t="shared" si="41"/>
        <v>800905</v>
      </c>
    </row>
    <row r="215" spans="1:15" ht="15">
      <c r="A215" s="171" t="s">
        <v>310</v>
      </c>
      <c r="B215" s="112" t="s">
        <v>153</v>
      </c>
      <c r="C215" s="113">
        <f>306047+85+7000+951</f>
        <v>314083</v>
      </c>
      <c r="D215" s="38"/>
      <c r="E215" s="38"/>
      <c r="F215" s="113"/>
      <c r="G215" s="131"/>
      <c r="H215" s="131"/>
      <c r="I215" s="131"/>
      <c r="J215" s="130"/>
      <c r="K215" s="130"/>
      <c r="L215" s="130"/>
      <c r="M215" s="130"/>
      <c r="N215" s="133"/>
      <c r="O215" s="321">
        <f t="shared" si="41"/>
        <v>314083</v>
      </c>
    </row>
    <row r="216" spans="1:15" ht="15">
      <c r="A216" s="171" t="s">
        <v>311</v>
      </c>
      <c r="B216" s="112" t="s">
        <v>134</v>
      </c>
      <c r="C216" s="289">
        <f>624277+34+123991</f>
        <v>748302</v>
      </c>
      <c r="D216" s="38"/>
      <c r="E216" s="38"/>
      <c r="F216" s="113"/>
      <c r="G216" s="131"/>
      <c r="H216" s="131"/>
      <c r="I216" s="131"/>
      <c r="J216" s="130"/>
      <c r="K216" s="130"/>
      <c r="L216" s="130"/>
      <c r="M216" s="130"/>
      <c r="N216" s="133"/>
      <c r="O216" s="321">
        <f t="shared" si="41"/>
        <v>748302</v>
      </c>
    </row>
    <row r="217" spans="1:15" ht="15">
      <c r="A217" s="171" t="s">
        <v>312</v>
      </c>
      <c r="B217" s="112" t="s">
        <v>135</v>
      </c>
      <c r="C217" s="289">
        <f>435311+4000+1400+31644-3</f>
        <v>472352</v>
      </c>
      <c r="D217" s="38"/>
      <c r="E217" s="38"/>
      <c r="F217" s="113"/>
      <c r="G217" s="118"/>
      <c r="H217" s="131"/>
      <c r="I217" s="131"/>
      <c r="J217" s="130"/>
      <c r="K217" s="130"/>
      <c r="L217" s="130"/>
      <c r="M217" s="130"/>
      <c r="N217" s="133"/>
      <c r="O217" s="321">
        <f t="shared" si="41"/>
        <v>472352</v>
      </c>
    </row>
    <row r="218" spans="1:15" ht="15">
      <c r="A218" s="171" t="s">
        <v>313</v>
      </c>
      <c r="B218" s="112" t="s">
        <v>136</v>
      </c>
      <c r="C218" s="236">
        <f>136740+33052-29</f>
        <v>169763</v>
      </c>
      <c r="D218" s="38"/>
      <c r="E218" s="38"/>
      <c r="F218" s="113"/>
      <c r="G218" s="131"/>
      <c r="H218" s="131"/>
      <c r="I218" s="131"/>
      <c r="J218" s="130"/>
      <c r="K218" s="130"/>
      <c r="L218" s="130"/>
      <c r="M218" s="130"/>
      <c r="N218" s="133"/>
      <c r="O218" s="321">
        <f t="shared" si="41"/>
        <v>169763</v>
      </c>
    </row>
    <row r="219" spans="1:15" ht="15">
      <c r="A219" s="171" t="s">
        <v>314</v>
      </c>
      <c r="B219" s="112" t="s">
        <v>193</v>
      </c>
      <c r="C219" s="236"/>
      <c r="D219" s="38"/>
      <c r="E219" s="38"/>
      <c r="F219" s="113"/>
      <c r="G219" s="131"/>
      <c r="H219" s="131"/>
      <c r="I219" s="131"/>
      <c r="J219" s="235">
        <v>182788</v>
      </c>
      <c r="K219" s="130"/>
      <c r="L219" s="130"/>
      <c r="M219" s="130"/>
      <c r="N219" s="133"/>
      <c r="O219" s="321">
        <f t="shared" si="41"/>
        <v>182788</v>
      </c>
    </row>
    <row r="220" spans="1:15" ht="15">
      <c r="A220" s="169" t="s">
        <v>194</v>
      </c>
      <c r="B220" s="142" t="s">
        <v>195</v>
      </c>
      <c r="C220" s="54">
        <f>SUM(C221:C222)</f>
        <v>205000</v>
      </c>
      <c r="D220" s="38"/>
      <c r="E220" s="38"/>
      <c r="F220" s="113"/>
      <c r="G220" s="131"/>
      <c r="H220" s="131"/>
      <c r="I220" s="131"/>
      <c r="J220" s="54">
        <f>SUM(J221:J222)</f>
        <v>114246</v>
      </c>
      <c r="K220" s="130"/>
      <c r="L220" s="130"/>
      <c r="M220" s="130"/>
      <c r="N220" s="133"/>
      <c r="O220" s="321">
        <f t="shared" si="41"/>
        <v>319246</v>
      </c>
    </row>
    <row r="221" spans="1:15" ht="15">
      <c r="A221" s="171" t="s">
        <v>528</v>
      </c>
      <c r="B221" s="112" t="s">
        <v>514</v>
      </c>
      <c r="C221" s="113">
        <v>40000</v>
      </c>
      <c r="D221" s="113"/>
      <c r="E221" s="113"/>
      <c r="F221" s="113"/>
      <c r="G221" s="131"/>
      <c r="H221" s="131"/>
      <c r="I221" s="131"/>
      <c r="J221" s="133">
        <v>102085</v>
      </c>
      <c r="K221" s="133"/>
      <c r="L221" s="133"/>
      <c r="M221" s="133"/>
      <c r="N221" s="133"/>
      <c r="O221" s="321">
        <f t="shared" si="41"/>
        <v>142085</v>
      </c>
    </row>
    <row r="222" spans="1:15" ht="15">
      <c r="A222" s="171" t="s">
        <v>529</v>
      </c>
      <c r="B222" s="112" t="s">
        <v>515</v>
      </c>
      <c r="C222" s="113">
        <v>165000</v>
      </c>
      <c r="D222" s="113"/>
      <c r="E222" s="113"/>
      <c r="F222" s="113"/>
      <c r="G222" s="131"/>
      <c r="H222" s="131"/>
      <c r="I222" s="131"/>
      <c r="J222" s="133">
        <v>12161</v>
      </c>
      <c r="K222" s="133"/>
      <c r="L222" s="133"/>
      <c r="M222" s="133"/>
      <c r="N222" s="133"/>
      <c r="O222" s="321">
        <f t="shared" si="41"/>
        <v>177161</v>
      </c>
    </row>
    <row r="223" spans="1:15" ht="29.25">
      <c r="A223" s="169" t="s">
        <v>492</v>
      </c>
      <c r="B223" s="142" t="s">
        <v>397</v>
      </c>
      <c r="C223" s="320">
        <f>191868+4589-7445</f>
        <v>189012</v>
      </c>
      <c r="D223" s="170"/>
      <c r="E223" s="170"/>
      <c r="F223" s="170"/>
      <c r="G223" s="200"/>
      <c r="H223" s="200"/>
      <c r="I223" s="200"/>
      <c r="J223" s="201"/>
      <c r="K223" s="201"/>
      <c r="L223" s="201"/>
      <c r="M223" s="201"/>
      <c r="N223" s="201"/>
      <c r="O223" s="321">
        <f t="shared" si="41"/>
        <v>189012</v>
      </c>
    </row>
    <row r="224" spans="1:15" ht="30.75" customHeight="1" thickBot="1">
      <c r="A224" s="202" t="s">
        <v>137</v>
      </c>
      <c r="B224" s="203" t="s">
        <v>315</v>
      </c>
      <c r="C224" s="339">
        <f>SUM(C225:C251)</f>
        <v>980282</v>
      </c>
      <c r="D224" s="339">
        <f aca="true" t="shared" si="46" ref="D224:N224">SUM(D225:D251)</f>
        <v>0</v>
      </c>
      <c r="E224" s="339">
        <f t="shared" si="46"/>
        <v>0</v>
      </c>
      <c r="F224" s="339">
        <f t="shared" si="46"/>
        <v>0</v>
      </c>
      <c r="G224" s="339">
        <f t="shared" si="46"/>
        <v>26420</v>
      </c>
      <c r="H224" s="339">
        <f t="shared" si="46"/>
        <v>0</v>
      </c>
      <c r="I224" s="339">
        <f t="shared" si="46"/>
        <v>21654</v>
      </c>
      <c r="J224" s="339">
        <f t="shared" si="46"/>
        <v>13463</v>
      </c>
      <c r="K224" s="339">
        <f t="shared" si="46"/>
        <v>26924</v>
      </c>
      <c r="L224" s="339">
        <f>SUM(L225:L251)</f>
        <v>23771</v>
      </c>
      <c r="M224" s="339">
        <f t="shared" si="46"/>
        <v>15288</v>
      </c>
      <c r="N224" s="339">
        <f t="shared" si="46"/>
        <v>19840</v>
      </c>
      <c r="O224" s="340">
        <f t="shared" si="41"/>
        <v>1127642</v>
      </c>
    </row>
    <row r="225" spans="1:15" ht="30.75" customHeight="1">
      <c r="A225" s="186" t="s">
        <v>523</v>
      </c>
      <c r="B225" s="188" t="s">
        <v>524</v>
      </c>
      <c r="C225" s="499">
        <f>17036+26339-1751+20000</f>
        <v>61624</v>
      </c>
      <c r="D225" s="500"/>
      <c r="E225" s="500"/>
      <c r="F225" s="500"/>
      <c r="G225" s="500">
        <v>1350</v>
      </c>
      <c r="H225" s="500"/>
      <c r="I225" s="500"/>
      <c r="J225" s="168">
        <v>2008</v>
      </c>
      <c r="K225" s="500"/>
      <c r="L225" s="500"/>
      <c r="M225" s="500"/>
      <c r="N225" s="501"/>
      <c r="O225" s="321">
        <f t="shared" si="41"/>
        <v>64982</v>
      </c>
    </row>
    <row r="226" spans="1:15" ht="30.75" customHeight="1">
      <c r="A226" s="186" t="s">
        <v>642</v>
      </c>
      <c r="B226" s="258" t="s">
        <v>643</v>
      </c>
      <c r="C226" s="236">
        <v>4178</v>
      </c>
      <c r="D226" s="335"/>
      <c r="E226" s="335"/>
      <c r="F226" s="335"/>
      <c r="G226" s="335"/>
      <c r="H226" s="335"/>
      <c r="I226" s="335"/>
      <c r="J226" s="335"/>
      <c r="K226" s="335"/>
      <c r="L226" s="335"/>
      <c r="M226" s="335"/>
      <c r="N226" s="524"/>
      <c r="O226" s="321">
        <f t="shared" si="41"/>
        <v>4178</v>
      </c>
    </row>
    <row r="227" spans="1:15" ht="30">
      <c r="A227" s="186" t="s">
        <v>688</v>
      </c>
      <c r="B227" s="502" t="s">
        <v>692</v>
      </c>
      <c r="C227" s="236">
        <v>27613</v>
      </c>
      <c r="D227" s="335"/>
      <c r="E227" s="335"/>
      <c r="F227" s="335"/>
      <c r="G227" s="335"/>
      <c r="H227" s="335"/>
      <c r="I227" s="335"/>
      <c r="J227" s="335"/>
      <c r="K227" s="335"/>
      <c r="L227" s="335"/>
      <c r="M227" s="335"/>
      <c r="N227" s="524"/>
      <c r="O227" s="321">
        <f t="shared" si="41"/>
        <v>27613</v>
      </c>
    </row>
    <row r="228" spans="1:15" ht="44.25" customHeight="1">
      <c r="A228" s="186" t="s">
        <v>684</v>
      </c>
      <c r="B228" s="258" t="s">
        <v>693</v>
      </c>
      <c r="C228" s="236">
        <f>1870+3160</f>
        <v>5030</v>
      </c>
      <c r="D228" s="335"/>
      <c r="E228" s="335"/>
      <c r="F228" s="335"/>
      <c r="G228" s="335"/>
      <c r="H228" s="335"/>
      <c r="I228" s="335"/>
      <c r="J228" s="335"/>
      <c r="K228" s="335"/>
      <c r="L228" s="335"/>
      <c r="M228" s="335"/>
      <c r="N228" s="524"/>
      <c r="O228" s="321">
        <f t="shared" si="41"/>
        <v>5030</v>
      </c>
    </row>
    <row r="229" spans="1:15" ht="43.5" customHeight="1">
      <c r="A229" s="186" t="s">
        <v>687</v>
      </c>
      <c r="B229" s="258" t="s">
        <v>694</v>
      </c>
      <c r="C229" s="289">
        <f>1700+2574</f>
        <v>4274</v>
      </c>
      <c r="D229" s="320"/>
      <c r="E229" s="320"/>
      <c r="F229" s="320"/>
      <c r="G229" s="320"/>
      <c r="H229" s="320"/>
      <c r="I229" s="320"/>
      <c r="J229" s="320"/>
      <c r="K229" s="320"/>
      <c r="L229" s="320"/>
      <c r="M229" s="320"/>
      <c r="N229" s="524"/>
      <c r="O229" s="321">
        <f t="shared" si="41"/>
        <v>4274</v>
      </c>
    </row>
    <row r="230" spans="1:15" ht="75">
      <c r="A230" s="186" t="s">
        <v>718</v>
      </c>
      <c r="B230" s="243" t="s">
        <v>720</v>
      </c>
      <c r="C230" s="325">
        <v>5000</v>
      </c>
      <c r="D230" s="374"/>
      <c r="E230" s="374"/>
      <c r="F230" s="374"/>
      <c r="G230" s="374"/>
      <c r="H230" s="374"/>
      <c r="I230" s="374"/>
      <c r="J230" s="374"/>
      <c r="K230" s="374"/>
      <c r="L230" s="374"/>
      <c r="M230" s="374"/>
      <c r="N230" s="374"/>
      <c r="O230" s="321">
        <f t="shared" si="41"/>
        <v>5000</v>
      </c>
    </row>
    <row r="231" spans="1:15" ht="15">
      <c r="A231" s="186" t="s">
        <v>316</v>
      </c>
      <c r="B231" s="237" t="s">
        <v>453</v>
      </c>
      <c r="C231" s="289"/>
      <c r="D231" s="38"/>
      <c r="E231" s="38"/>
      <c r="F231" s="113"/>
      <c r="G231" s="131"/>
      <c r="H231" s="131"/>
      <c r="I231" s="131"/>
      <c r="J231" s="130"/>
      <c r="K231" s="130">
        <v>26924</v>
      </c>
      <c r="L231" s="130">
        <v>23771</v>
      </c>
      <c r="M231" s="130"/>
      <c r="N231" s="133"/>
      <c r="O231" s="321">
        <f t="shared" si="41"/>
        <v>50695</v>
      </c>
    </row>
    <row r="232" spans="1:15" ht="15">
      <c r="A232" s="186" t="s">
        <v>317</v>
      </c>
      <c r="B232" s="355" t="s">
        <v>454</v>
      </c>
      <c r="C232" s="289"/>
      <c r="D232" s="38"/>
      <c r="E232" s="38"/>
      <c r="F232" s="113"/>
      <c r="G232" s="118">
        <v>25070</v>
      </c>
      <c r="H232" s="131"/>
      <c r="I232" s="118">
        <v>21066</v>
      </c>
      <c r="J232" s="130">
        <v>11455</v>
      </c>
      <c r="K232" s="130"/>
      <c r="L232" s="130"/>
      <c r="M232" s="130">
        <v>15288</v>
      </c>
      <c r="N232" s="133">
        <v>19840</v>
      </c>
      <c r="O232" s="321">
        <f t="shared" si="41"/>
        <v>92719</v>
      </c>
    </row>
    <row r="233" spans="1:15" ht="60">
      <c r="A233" s="186" t="s">
        <v>716</v>
      </c>
      <c r="B233" s="243" t="s">
        <v>721</v>
      </c>
      <c r="C233" s="289">
        <v>4367</v>
      </c>
      <c r="D233" s="38"/>
      <c r="E233" s="38"/>
      <c r="F233" s="113"/>
      <c r="G233" s="118"/>
      <c r="H233" s="131"/>
      <c r="I233" s="118"/>
      <c r="J233" s="130"/>
      <c r="K233" s="130"/>
      <c r="L233" s="130"/>
      <c r="M233" s="130"/>
      <c r="N233" s="133"/>
      <c r="O233" s="321">
        <f t="shared" si="41"/>
        <v>4367</v>
      </c>
    </row>
    <row r="234" spans="1:15" ht="30">
      <c r="A234" s="171" t="s">
        <v>459</v>
      </c>
      <c r="B234" s="188" t="s">
        <v>460</v>
      </c>
      <c r="C234" s="289"/>
      <c r="D234" s="38"/>
      <c r="E234" s="38"/>
      <c r="F234" s="113"/>
      <c r="G234" s="118"/>
      <c r="H234" s="131"/>
      <c r="I234" s="118"/>
      <c r="J234" s="130"/>
      <c r="K234" s="130"/>
      <c r="L234" s="130"/>
      <c r="M234" s="130"/>
      <c r="N234" s="133"/>
      <c r="O234" s="321">
        <f t="shared" si="41"/>
        <v>0</v>
      </c>
    </row>
    <row r="235" spans="1:15" ht="60">
      <c r="A235" s="171" t="s">
        <v>381</v>
      </c>
      <c r="B235" s="243" t="s">
        <v>485</v>
      </c>
      <c r="C235" s="113">
        <v>732</v>
      </c>
      <c r="D235" s="38"/>
      <c r="E235" s="38"/>
      <c r="F235" s="113"/>
      <c r="G235" s="131"/>
      <c r="H235" s="131"/>
      <c r="I235" s="131"/>
      <c r="J235" s="130"/>
      <c r="K235" s="130"/>
      <c r="L235" s="130"/>
      <c r="M235" s="130"/>
      <c r="N235" s="133"/>
      <c r="O235" s="321">
        <f t="shared" si="41"/>
        <v>732</v>
      </c>
    </row>
    <row r="236" spans="1:15" ht="60">
      <c r="A236" s="171" t="s">
        <v>398</v>
      </c>
      <c r="B236" s="243" t="s">
        <v>486</v>
      </c>
      <c r="C236" s="289">
        <v>3316</v>
      </c>
      <c r="D236" s="38"/>
      <c r="E236" s="38"/>
      <c r="F236" s="113"/>
      <c r="G236" s="131"/>
      <c r="H236" s="131"/>
      <c r="I236" s="131"/>
      <c r="J236" s="130"/>
      <c r="K236" s="130"/>
      <c r="L236" s="130"/>
      <c r="M236" s="130"/>
      <c r="N236" s="133"/>
      <c r="O236" s="321">
        <f t="shared" si="41"/>
        <v>3316</v>
      </c>
    </row>
    <row r="237" spans="1:15" ht="30">
      <c r="A237" s="186" t="s">
        <v>399</v>
      </c>
      <c r="B237" s="295" t="s">
        <v>400</v>
      </c>
      <c r="C237" s="289">
        <f>7288-57</f>
        <v>7231</v>
      </c>
      <c r="D237" s="38"/>
      <c r="E237" s="38"/>
      <c r="F237" s="113"/>
      <c r="G237" s="118"/>
      <c r="H237" s="131"/>
      <c r="I237" s="131"/>
      <c r="J237" s="130"/>
      <c r="K237" s="130"/>
      <c r="L237" s="130"/>
      <c r="M237" s="130"/>
      <c r="N237" s="133"/>
      <c r="O237" s="321">
        <f t="shared" si="41"/>
        <v>7231</v>
      </c>
    </row>
    <row r="238" spans="1:15" ht="30">
      <c r="A238" s="171" t="s">
        <v>401</v>
      </c>
      <c r="B238" s="258" t="s">
        <v>402</v>
      </c>
      <c r="C238" s="289">
        <f>2800000-2200000</f>
        <v>600000</v>
      </c>
      <c r="D238" s="113"/>
      <c r="E238" s="113"/>
      <c r="F238" s="113"/>
      <c r="G238" s="131"/>
      <c r="H238" s="123"/>
      <c r="I238" s="123"/>
      <c r="J238" s="124"/>
      <c r="K238" s="124"/>
      <c r="L238" s="124"/>
      <c r="M238" s="124"/>
      <c r="N238" s="226"/>
      <c r="O238" s="321">
        <f t="shared" si="41"/>
        <v>600000</v>
      </c>
    </row>
    <row r="239" spans="1:15" ht="45">
      <c r="A239" s="186" t="s">
        <v>426</v>
      </c>
      <c r="B239" s="255" t="s">
        <v>425</v>
      </c>
      <c r="C239" s="289">
        <v>8786</v>
      </c>
      <c r="D239" s="113"/>
      <c r="E239" s="113"/>
      <c r="F239" s="113"/>
      <c r="G239" s="131"/>
      <c r="H239" s="123"/>
      <c r="I239" s="123"/>
      <c r="J239" s="124"/>
      <c r="K239" s="124"/>
      <c r="L239" s="124"/>
      <c r="M239" s="124"/>
      <c r="N239" s="226"/>
      <c r="O239" s="321">
        <f t="shared" si="41"/>
        <v>8786</v>
      </c>
    </row>
    <row r="240" spans="1:15" ht="60">
      <c r="A240" s="171" t="s">
        <v>430</v>
      </c>
      <c r="B240" s="258" t="s">
        <v>487</v>
      </c>
      <c r="C240" s="289">
        <v>5675</v>
      </c>
      <c r="D240" s="113"/>
      <c r="E240" s="113"/>
      <c r="F240" s="113"/>
      <c r="G240" s="131"/>
      <c r="H240" s="131"/>
      <c r="I240" s="131"/>
      <c r="J240" s="130"/>
      <c r="K240" s="130"/>
      <c r="L240" s="130"/>
      <c r="M240" s="130"/>
      <c r="N240" s="195"/>
      <c r="O240" s="321">
        <f t="shared" si="41"/>
        <v>5675</v>
      </c>
    </row>
    <row r="241" spans="1:15" ht="30">
      <c r="A241" s="171" t="s">
        <v>519</v>
      </c>
      <c r="B241" s="255" t="s">
        <v>520</v>
      </c>
      <c r="C241" s="289"/>
      <c r="D241" s="113"/>
      <c r="E241" s="113"/>
      <c r="F241" s="113"/>
      <c r="G241" s="131"/>
      <c r="H241" s="199"/>
      <c r="I241" s="199"/>
      <c r="J241" s="133"/>
      <c r="K241" s="133"/>
      <c r="L241" s="133"/>
      <c r="M241" s="133"/>
      <c r="N241" s="133"/>
      <c r="O241" s="321">
        <f t="shared" si="41"/>
        <v>0</v>
      </c>
    </row>
    <row r="242" spans="1:15" ht="45">
      <c r="A242" s="245" t="s">
        <v>522</v>
      </c>
      <c r="B242" s="258" t="s">
        <v>521</v>
      </c>
      <c r="C242" s="236">
        <v>1419</v>
      </c>
      <c r="D242" s="38"/>
      <c r="E242" s="38"/>
      <c r="F242" s="38"/>
      <c r="G242" s="131"/>
      <c r="H242" s="131"/>
      <c r="I242" s="131"/>
      <c r="J242" s="130"/>
      <c r="K242" s="130"/>
      <c r="L242" s="130"/>
      <c r="M242" s="130"/>
      <c r="N242" s="133"/>
      <c r="O242" s="321">
        <f t="shared" si="41"/>
        <v>1419</v>
      </c>
    </row>
    <row r="243" spans="1:15" ht="60">
      <c r="A243" s="245" t="s">
        <v>535</v>
      </c>
      <c r="B243" s="258" t="s">
        <v>536</v>
      </c>
      <c r="C243" s="236">
        <f>34906-11402</f>
        <v>23504</v>
      </c>
      <c r="D243" s="38"/>
      <c r="E243" s="38"/>
      <c r="F243" s="38"/>
      <c r="G243" s="131"/>
      <c r="H243" s="131"/>
      <c r="I243" s="131"/>
      <c r="J243" s="130"/>
      <c r="K243" s="130"/>
      <c r="L243" s="130"/>
      <c r="M243" s="130"/>
      <c r="N243" s="133"/>
      <c r="O243" s="321">
        <f t="shared" si="41"/>
        <v>23504</v>
      </c>
    </row>
    <row r="244" spans="1:15" ht="60">
      <c r="A244" s="245" t="s">
        <v>537</v>
      </c>
      <c r="B244" s="258" t="s">
        <v>541</v>
      </c>
      <c r="C244" s="236">
        <f>10678</f>
        <v>10678</v>
      </c>
      <c r="D244" s="38"/>
      <c r="E244" s="38"/>
      <c r="F244" s="38"/>
      <c r="G244" s="131"/>
      <c r="H244" s="131"/>
      <c r="I244" s="131"/>
      <c r="J244" s="130"/>
      <c r="K244" s="130"/>
      <c r="L244" s="130"/>
      <c r="M244" s="130"/>
      <c r="N244" s="133"/>
      <c r="O244" s="321">
        <f t="shared" si="41"/>
        <v>10678</v>
      </c>
    </row>
    <row r="245" spans="1:15" ht="45">
      <c r="A245" s="245" t="s">
        <v>538</v>
      </c>
      <c r="B245" s="258" t="s">
        <v>542</v>
      </c>
      <c r="C245" s="236">
        <v>12702</v>
      </c>
      <c r="D245" s="38"/>
      <c r="E245" s="38"/>
      <c r="F245" s="38"/>
      <c r="G245" s="131"/>
      <c r="H245" s="131"/>
      <c r="I245" s="131"/>
      <c r="J245" s="130"/>
      <c r="K245" s="130"/>
      <c r="L245" s="130"/>
      <c r="M245" s="130"/>
      <c r="N245" s="133"/>
      <c r="O245" s="321">
        <f t="shared" si="41"/>
        <v>12702</v>
      </c>
    </row>
    <row r="246" spans="1:15" ht="30">
      <c r="A246" s="245" t="s">
        <v>548</v>
      </c>
      <c r="B246" s="375" t="s">
        <v>547</v>
      </c>
      <c r="C246" s="236">
        <f>108874+50000+6857</f>
        <v>165731</v>
      </c>
      <c r="D246" s="38"/>
      <c r="E246" s="38"/>
      <c r="F246" s="38"/>
      <c r="G246" s="131"/>
      <c r="H246" s="131"/>
      <c r="I246" s="118">
        <v>588</v>
      </c>
      <c r="J246" s="130"/>
      <c r="K246" s="130"/>
      <c r="L246" s="130"/>
      <c r="M246" s="130"/>
      <c r="N246" s="133"/>
      <c r="O246" s="321">
        <f t="shared" si="41"/>
        <v>166319</v>
      </c>
    </row>
    <row r="247" spans="1:15" ht="30">
      <c r="A247" s="245" t="s">
        <v>553</v>
      </c>
      <c r="B247" s="375" t="s">
        <v>613</v>
      </c>
      <c r="C247" s="236">
        <f>4000+3582</f>
        <v>7582</v>
      </c>
      <c r="D247" s="38"/>
      <c r="E247" s="113"/>
      <c r="F247" s="113"/>
      <c r="G247" s="131"/>
      <c r="H247" s="199"/>
      <c r="I247" s="199"/>
      <c r="J247" s="133"/>
      <c r="K247" s="133"/>
      <c r="L247" s="133"/>
      <c r="M247" s="133"/>
      <c r="N247" s="195"/>
      <c r="O247" s="321">
        <f t="shared" si="41"/>
        <v>7582</v>
      </c>
    </row>
    <row r="248" spans="1:15" ht="60">
      <c r="A248" s="245" t="s">
        <v>544</v>
      </c>
      <c r="B248" s="258" t="s">
        <v>543</v>
      </c>
      <c r="C248" s="236">
        <f>5875+1500</f>
        <v>7375</v>
      </c>
      <c r="D248" s="121"/>
      <c r="E248" s="113"/>
      <c r="F248" s="113"/>
      <c r="G248" s="131"/>
      <c r="H248" s="199"/>
      <c r="I248" s="199"/>
      <c r="J248" s="133"/>
      <c r="K248" s="133"/>
      <c r="L248" s="133"/>
      <c r="M248" s="133"/>
      <c r="N248" s="195"/>
      <c r="O248" s="321">
        <f t="shared" si="41"/>
        <v>7375</v>
      </c>
    </row>
    <row r="249" spans="1:15" ht="60">
      <c r="A249" s="245" t="s">
        <v>631</v>
      </c>
      <c r="B249" s="258" t="s">
        <v>632</v>
      </c>
      <c r="C249" s="236">
        <f>6000-4121</f>
        <v>1879</v>
      </c>
      <c r="D249" s="38"/>
      <c r="E249" s="113"/>
      <c r="F249" s="113"/>
      <c r="G249" s="131"/>
      <c r="H249" s="199"/>
      <c r="I249" s="199"/>
      <c r="J249" s="133"/>
      <c r="K249" s="133"/>
      <c r="L249" s="133"/>
      <c r="M249" s="133"/>
      <c r="N249" s="195"/>
      <c r="O249" s="321">
        <f t="shared" si="41"/>
        <v>1879</v>
      </c>
    </row>
    <row r="250" spans="1:15" ht="60">
      <c r="A250" s="245" t="s">
        <v>649</v>
      </c>
      <c r="B250" s="258" t="s">
        <v>651</v>
      </c>
      <c r="C250" s="236">
        <f>13345-3046</f>
        <v>10299</v>
      </c>
      <c r="D250" s="38"/>
      <c r="E250" s="113"/>
      <c r="F250" s="113"/>
      <c r="G250" s="131"/>
      <c r="H250" s="199"/>
      <c r="I250" s="199"/>
      <c r="J250" s="133"/>
      <c r="K250" s="133"/>
      <c r="L250" s="133"/>
      <c r="M250" s="133"/>
      <c r="N250" s="195"/>
      <c r="O250" s="321">
        <f t="shared" si="41"/>
        <v>10299</v>
      </c>
    </row>
    <row r="251" spans="1:15" ht="45.75" thickBot="1">
      <c r="A251" s="245" t="s">
        <v>765</v>
      </c>
      <c r="B251" s="579" t="s">
        <v>764</v>
      </c>
      <c r="C251" s="580">
        <v>1287</v>
      </c>
      <c r="D251" s="581"/>
      <c r="E251" s="144"/>
      <c r="F251" s="144"/>
      <c r="G251" s="183"/>
      <c r="H251" s="293"/>
      <c r="I251" s="293"/>
      <c r="J251" s="194"/>
      <c r="K251" s="194"/>
      <c r="L251" s="194"/>
      <c r="M251" s="194"/>
      <c r="N251" s="194"/>
      <c r="O251" s="321">
        <f t="shared" si="41"/>
        <v>1287</v>
      </c>
    </row>
    <row r="252" spans="1:15" ht="15.75" thickBot="1">
      <c r="A252" s="182" t="s">
        <v>16</v>
      </c>
      <c r="B252" s="203" t="s">
        <v>138</v>
      </c>
      <c r="C252" s="339">
        <f>SUM(C253+C254+C255+C256)</f>
        <v>2512908</v>
      </c>
      <c r="D252" s="488">
        <f aca="true" t="shared" si="47" ref="D252:M252">SUM(D253+D254+D255+D256)</f>
        <v>27686</v>
      </c>
      <c r="E252" s="125">
        <f t="shared" si="47"/>
        <v>0</v>
      </c>
      <c r="F252" s="125">
        <f t="shared" si="47"/>
        <v>0</v>
      </c>
      <c r="G252" s="106">
        <f t="shared" si="47"/>
        <v>83969</v>
      </c>
      <c r="H252" s="125">
        <f t="shared" si="47"/>
        <v>210713</v>
      </c>
      <c r="I252" s="125">
        <f t="shared" si="47"/>
        <v>43058</v>
      </c>
      <c r="J252" s="125">
        <f t="shared" si="47"/>
        <v>661807</v>
      </c>
      <c r="K252" s="125">
        <f t="shared" si="47"/>
        <v>29773</v>
      </c>
      <c r="L252" s="125">
        <f t="shared" si="47"/>
        <v>24486</v>
      </c>
      <c r="M252" s="125">
        <f t="shared" si="47"/>
        <v>24710</v>
      </c>
      <c r="N252" s="125">
        <f>SUM(N253+N254+N255+N256)</f>
        <v>41710</v>
      </c>
      <c r="O252" s="307">
        <f t="shared" si="41"/>
        <v>3660820</v>
      </c>
    </row>
    <row r="253" spans="1:15" ht="16.5" customHeight="1">
      <c r="A253" s="169" t="s">
        <v>614</v>
      </c>
      <c r="B253" s="204" t="s">
        <v>235</v>
      </c>
      <c r="C253" s="168">
        <v>90533</v>
      </c>
      <c r="D253" s="205"/>
      <c r="E253" s="205"/>
      <c r="F253" s="168"/>
      <c r="G253" s="207">
        <v>800</v>
      </c>
      <c r="H253" s="206"/>
      <c r="I253" s="207"/>
      <c r="J253" s="208">
        <v>67947</v>
      </c>
      <c r="K253" s="208"/>
      <c r="L253" s="208"/>
      <c r="M253" s="208"/>
      <c r="N253" s="238"/>
      <c r="O253" s="319">
        <f t="shared" si="41"/>
        <v>159280</v>
      </c>
    </row>
    <row r="254" spans="1:15" ht="15">
      <c r="A254" s="165" t="s">
        <v>615</v>
      </c>
      <c r="B254" s="166" t="s">
        <v>196</v>
      </c>
      <c r="C254" s="167">
        <v>20356</v>
      </c>
      <c r="D254" s="167"/>
      <c r="E254" s="167"/>
      <c r="F254" s="167"/>
      <c r="G254" s="127">
        <v>1800</v>
      </c>
      <c r="H254" s="127">
        <v>1800</v>
      </c>
      <c r="I254" s="127">
        <v>1800</v>
      </c>
      <c r="J254" s="127">
        <v>0</v>
      </c>
      <c r="K254" s="54">
        <v>1800</v>
      </c>
      <c r="L254" s="239">
        <v>1800</v>
      </c>
      <c r="M254" s="167">
        <v>1800</v>
      </c>
      <c r="N254" s="167">
        <v>1800</v>
      </c>
      <c r="O254" s="309">
        <f t="shared" si="41"/>
        <v>32956</v>
      </c>
    </row>
    <row r="255" spans="1:15" ht="15">
      <c r="A255" s="165" t="s">
        <v>139</v>
      </c>
      <c r="B255" s="166" t="s">
        <v>140</v>
      </c>
      <c r="C255" s="318"/>
      <c r="D255" s="110"/>
      <c r="E255" s="110"/>
      <c r="F255" s="126"/>
      <c r="G255" s="140"/>
      <c r="H255" s="140"/>
      <c r="I255" s="140"/>
      <c r="J255" s="129"/>
      <c r="K255" s="129"/>
      <c r="L255" s="129"/>
      <c r="M255" s="129"/>
      <c r="N255" s="150"/>
      <c r="O255" s="321">
        <f t="shared" si="41"/>
        <v>0</v>
      </c>
    </row>
    <row r="256" spans="1:15" ht="29.25">
      <c r="A256" s="169" t="s">
        <v>141</v>
      </c>
      <c r="B256" s="142" t="s">
        <v>142</v>
      </c>
      <c r="C256" s="320">
        <f>SUM(C257:C267)</f>
        <v>2402019</v>
      </c>
      <c r="D256" s="170">
        <f aca="true" t="shared" si="48" ref="D256:N256">SUM(D257:D267)</f>
        <v>27686</v>
      </c>
      <c r="E256" s="170">
        <f t="shared" si="48"/>
        <v>0</v>
      </c>
      <c r="F256" s="170">
        <f t="shared" si="48"/>
        <v>0</v>
      </c>
      <c r="G256" s="54">
        <f t="shared" si="48"/>
        <v>81369</v>
      </c>
      <c r="H256" s="170">
        <f t="shared" si="48"/>
        <v>208913</v>
      </c>
      <c r="I256" s="170">
        <f>SUM(I257:I267)</f>
        <v>41258</v>
      </c>
      <c r="J256" s="170">
        <f t="shared" si="48"/>
        <v>593860</v>
      </c>
      <c r="K256" s="170">
        <f t="shared" si="48"/>
        <v>27973</v>
      </c>
      <c r="L256" s="170">
        <f t="shared" si="48"/>
        <v>22686</v>
      </c>
      <c r="M256" s="170">
        <f t="shared" si="48"/>
        <v>22910</v>
      </c>
      <c r="N256" s="170">
        <f t="shared" si="48"/>
        <v>39910</v>
      </c>
      <c r="O256" s="321">
        <f aca="true" t="shared" si="49" ref="O256:O274">SUM(C256:N256)</f>
        <v>3468584</v>
      </c>
    </row>
    <row r="257" spans="1:15" ht="15">
      <c r="A257" s="171" t="s">
        <v>318</v>
      </c>
      <c r="B257" s="112" t="s">
        <v>143</v>
      </c>
      <c r="C257" s="289">
        <f>901561+17177</f>
        <v>918738</v>
      </c>
      <c r="D257" s="38">
        <v>27686</v>
      </c>
      <c r="E257" s="38"/>
      <c r="F257" s="113"/>
      <c r="G257" s="118">
        <v>990</v>
      </c>
      <c r="H257" s="118"/>
      <c r="I257" s="118">
        <f>650-46</f>
        <v>604</v>
      </c>
      <c r="J257" s="130">
        <v>2553</v>
      </c>
      <c r="K257" s="130">
        <v>300</v>
      </c>
      <c r="L257" s="130">
        <v>1100</v>
      </c>
      <c r="M257" s="130">
        <v>3610</v>
      </c>
      <c r="N257" s="133">
        <v>1216</v>
      </c>
      <c r="O257" s="321">
        <f t="shared" si="49"/>
        <v>956797</v>
      </c>
    </row>
    <row r="258" spans="1:15" ht="15">
      <c r="A258" s="171" t="s">
        <v>319</v>
      </c>
      <c r="B258" s="112" t="s">
        <v>33</v>
      </c>
      <c r="C258" s="289">
        <f>1071460+11612-27</f>
        <v>1083045</v>
      </c>
      <c r="D258" s="38"/>
      <c r="E258" s="38"/>
      <c r="F258" s="113"/>
      <c r="G258" s="118">
        <v>80379</v>
      </c>
      <c r="H258" s="118">
        <v>44251</v>
      </c>
      <c r="I258" s="118">
        <v>40104</v>
      </c>
      <c r="J258" s="130">
        <v>47686</v>
      </c>
      <c r="K258" s="130">
        <v>27673</v>
      </c>
      <c r="L258" s="130">
        <v>21586</v>
      </c>
      <c r="M258" s="130">
        <v>19300</v>
      </c>
      <c r="N258" s="133">
        <v>38694</v>
      </c>
      <c r="O258" s="321">
        <f t="shared" si="49"/>
        <v>1402718</v>
      </c>
    </row>
    <row r="259" spans="1:15" ht="15">
      <c r="A259" s="171" t="s">
        <v>455</v>
      </c>
      <c r="B259" s="112" t="s">
        <v>456</v>
      </c>
      <c r="C259" s="289">
        <f>184617+13300</f>
        <v>197917</v>
      </c>
      <c r="D259" s="38"/>
      <c r="E259" s="38"/>
      <c r="F259" s="113"/>
      <c r="G259" s="118"/>
      <c r="H259" s="118"/>
      <c r="I259" s="118"/>
      <c r="J259" s="130"/>
      <c r="K259" s="130"/>
      <c r="L259" s="130"/>
      <c r="M259" s="130"/>
      <c r="N259" s="133"/>
      <c r="O259" s="321">
        <f t="shared" si="49"/>
        <v>197917</v>
      </c>
    </row>
    <row r="260" spans="1:15" ht="15">
      <c r="A260" s="171" t="s">
        <v>320</v>
      </c>
      <c r="B260" s="112" t="s">
        <v>198</v>
      </c>
      <c r="C260" s="289"/>
      <c r="D260" s="38"/>
      <c r="E260" s="38"/>
      <c r="F260" s="113"/>
      <c r="G260" s="118"/>
      <c r="H260" s="118">
        <f>260782-96120</f>
        <v>164662</v>
      </c>
      <c r="I260" s="118"/>
      <c r="J260" s="130"/>
      <c r="K260" s="130"/>
      <c r="L260" s="130"/>
      <c r="M260" s="130"/>
      <c r="N260" s="133"/>
      <c r="O260" s="321">
        <f t="shared" si="49"/>
        <v>164662</v>
      </c>
    </row>
    <row r="261" spans="1:15" ht="15">
      <c r="A261" s="171" t="s">
        <v>321</v>
      </c>
      <c r="B261" s="112" t="s">
        <v>199</v>
      </c>
      <c r="C261" s="289"/>
      <c r="D261" s="38"/>
      <c r="E261" s="38"/>
      <c r="F261" s="113"/>
      <c r="G261" s="118"/>
      <c r="H261" s="118"/>
      <c r="I261" s="118"/>
      <c r="J261" s="130">
        <f>539315+27+46</f>
        <v>539388</v>
      </c>
      <c r="K261" s="130"/>
      <c r="L261" s="130"/>
      <c r="M261" s="130"/>
      <c r="N261" s="133"/>
      <c r="O261" s="321">
        <f t="shared" si="49"/>
        <v>539388</v>
      </c>
    </row>
    <row r="262" spans="1:15" ht="30">
      <c r="A262" s="171" t="s">
        <v>490</v>
      </c>
      <c r="B262" s="237" t="s">
        <v>491</v>
      </c>
      <c r="C262" s="289">
        <f>42444+20600+53800+8000</f>
        <v>124844</v>
      </c>
      <c r="D262" s="38"/>
      <c r="E262" s="38"/>
      <c r="F262" s="113"/>
      <c r="G262" s="118"/>
      <c r="H262" s="118"/>
      <c r="I262" s="118"/>
      <c r="J262" s="133"/>
      <c r="K262" s="133"/>
      <c r="L262" s="133"/>
      <c r="M262" s="133"/>
      <c r="N262" s="133"/>
      <c r="O262" s="321">
        <f t="shared" si="49"/>
        <v>124844</v>
      </c>
    </row>
    <row r="263" spans="1:15" ht="30">
      <c r="A263" s="171" t="s">
        <v>657</v>
      </c>
      <c r="B263" s="237" t="s">
        <v>658</v>
      </c>
      <c r="C263" s="289">
        <f>3500+8215</f>
        <v>11715</v>
      </c>
      <c r="D263" s="38"/>
      <c r="E263" s="38"/>
      <c r="F263" s="113"/>
      <c r="G263" s="118"/>
      <c r="H263" s="118"/>
      <c r="I263" s="118"/>
      <c r="J263" s="133"/>
      <c r="K263" s="133"/>
      <c r="L263" s="133"/>
      <c r="M263" s="133"/>
      <c r="N263" s="133"/>
      <c r="O263" s="321">
        <f t="shared" si="49"/>
        <v>11715</v>
      </c>
    </row>
    <row r="264" spans="1:15" ht="30">
      <c r="A264" s="171" t="s">
        <v>727</v>
      </c>
      <c r="B264" s="243" t="s">
        <v>767</v>
      </c>
      <c r="C264" s="289">
        <v>2316</v>
      </c>
      <c r="D264" s="38"/>
      <c r="E264" s="38"/>
      <c r="F264" s="113"/>
      <c r="G264" s="118"/>
      <c r="H264" s="118"/>
      <c r="I264" s="118"/>
      <c r="J264" s="133"/>
      <c r="K264" s="133"/>
      <c r="L264" s="133"/>
      <c r="M264" s="133"/>
      <c r="N264" s="133"/>
      <c r="O264" s="321">
        <f t="shared" si="49"/>
        <v>2316</v>
      </c>
    </row>
    <row r="265" spans="1:15" ht="15">
      <c r="A265" s="171" t="s">
        <v>322</v>
      </c>
      <c r="B265" s="112" t="s">
        <v>197</v>
      </c>
      <c r="C265" s="113">
        <f>26682+2000+14900</f>
        <v>43582</v>
      </c>
      <c r="D265" s="38"/>
      <c r="E265" s="38"/>
      <c r="F265" s="113"/>
      <c r="G265" s="131"/>
      <c r="H265" s="118"/>
      <c r="I265" s="118">
        <v>550</v>
      </c>
      <c r="J265" s="133">
        <v>4233</v>
      </c>
      <c r="K265" s="133"/>
      <c r="L265" s="133"/>
      <c r="M265" s="133"/>
      <c r="N265" s="133"/>
      <c r="O265" s="321">
        <f t="shared" si="49"/>
        <v>48365</v>
      </c>
    </row>
    <row r="266" spans="1:15" ht="45">
      <c r="A266" s="171" t="s">
        <v>422</v>
      </c>
      <c r="B266" s="258" t="s">
        <v>488</v>
      </c>
      <c r="C266" s="236">
        <f>13000+6862</f>
        <v>19862</v>
      </c>
      <c r="D266" s="38"/>
      <c r="E266" s="38"/>
      <c r="F266" s="38"/>
      <c r="G266" s="131"/>
      <c r="H266" s="131"/>
      <c r="I266" s="131"/>
      <c r="J266" s="130"/>
      <c r="K266" s="130"/>
      <c r="L266" s="130"/>
      <c r="M266" s="130"/>
      <c r="N266" s="195"/>
      <c r="O266" s="321">
        <f t="shared" si="49"/>
        <v>19862</v>
      </c>
    </row>
    <row r="267" spans="1:15" ht="30.75" thickBot="1">
      <c r="A267" s="186" t="s">
        <v>616</v>
      </c>
      <c r="B267" s="292" t="s">
        <v>617</v>
      </c>
      <c r="C267" s="325"/>
      <c r="D267" s="144"/>
      <c r="E267" s="144"/>
      <c r="F267" s="144"/>
      <c r="G267" s="183"/>
      <c r="H267" s="183"/>
      <c r="I267" s="183"/>
      <c r="J267" s="194"/>
      <c r="K267" s="194"/>
      <c r="L267" s="194"/>
      <c r="M267" s="194"/>
      <c r="N267" s="194"/>
      <c r="O267" s="321">
        <f t="shared" si="49"/>
        <v>0</v>
      </c>
    </row>
    <row r="268" spans="1:15" ht="15.75" thickBot="1">
      <c r="A268" s="209"/>
      <c r="B268" s="210" t="s">
        <v>35</v>
      </c>
      <c r="C268" s="317">
        <f aca="true" t="shared" si="50" ref="C268:N268">C62+C74+C80+C108+C122+C144+C149+C189+C252</f>
        <v>41411512</v>
      </c>
      <c r="D268" s="125">
        <f t="shared" si="50"/>
        <v>8694453</v>
      </c>
      <c r="E268" s="125">
        <f t="shared" si="50"/>
        <v>1587554</v>
      </c>
      <c r="F268" s="125">
        <f t="shared" si="50"/>
        <v>366658</v>
      </c>
      <c r="G268" s="106">
        <f t="shared" si="50"/>
        <v>2294846</v>
      </c>
      <c r="H268" s="106">
        <f t="shared" si="50"/>
        <v>717378</v>
      </c>
      <c r="I268" s="106">
        <f t="shared" si="50"/>
        <v>1023996</v>
      </c>
      <c r="J268" s="125">
        <f t="shared" si="50"/>
        <v>2824149</v>
      </c>
      <c r="K268" s="125">
        <f t="shared" si="50"/>
        <v>252291</v>
      </c>
      <c r="L268" s="125">
        <f t="shared" si="50"/>
        <v>305955</v>
      </c>
      <c r="M268" s="125">
        <f t="shared" si="50"/>
        <v>323734</v>
      </c>
      <c r="N268" s="125">
        <f t="shared" si="50"/>
        <v>993919</v>
      </c>
      <c r="O268" s="307">
        <f t="shared" si="49"/>
        <v>60796445</v>
      </c>
    </row>
    <row r="269" spans="1:15" ht="15">
      <c r="A269" s="157" t="s">
        <v>200</v>
      </c>
      <c r="B269" s="211" t="s">
        <v>423</v>
      </c>
      <c r="C269" s="212">
        <f>1863420+1948570+622918+333820</f>
        <v>4768728</v>
      </c>
      <c r="D269" s="212"/>
      <c r="E269" s="212"/>
      <c r="F269" s="212">
        <v>7444</v>
      </c>
      <c r="G269" s="212">
        <v>12638</v>
      </c>
      <c r="H269" s="212">
        <v>8645</v>
      </c>
      <c r="I269" s="212">
        <f>13356+3339</f>
        <v>16695</v>
      </c>
      <c r="J269" s="212">
        <v>40004</v>
      </c>
      <c r="K269" s="107"/>
      <c r="L269" s="212">
        <v>4269</v>
      </c>
      <c r="M269" s="212">
        <v>8241</v>
      </c>
      <c r="N269" s="212">
        <v>25753</v>
      </c>
      <c r="O269" s="60">
        <f t="shared" si="49"/>
        <v>4892417</v>
      </c>
    </row>
    <row r="270" spans="1:15" ht="15">
      <c r="A270" s="157" t="s">
        <v>679</v>
      </c>
      <c r="B270" s="211" t="s">
        <v>680</v>
      </c>
      <c r="C270" s="212"/>
      <c r="D270" s="212">
        <f>689685-4980</f>
        <v>684705</v>
      </c>
      <c r="E270" s="212"/>
      <c r="F270" s="60"/>
      <c r="H270" s="97"/>
      <c r="I270" s="97"/>
      <c r="J270" s="97"/>
      <c r="L270" s="97"/>
      <c r="N270" s="97"/>
      <c r="O270" s="60">
        <f t="shared" si="49"/>
        <v>684705</v>
      </c>
    </row>
    <row r="271" spans="1:15" ht="29.25">
      <c r="A271" s="157" t="s">
        <v>618</v>
      </c>
      <c r="B271" s="469" t="s">
        <v>555</v>
      </c>
      <c r="C271" s="212">
        <v>60000</v>
      </c>
      <c r="D271" s="212"/>
      <c r="E271" s="212"/>
      <c r="F271" s="60"/>
      <c r="H271" s="97"/>
      <c r="I271" s="97"/>
      <c r="J271" s="97"/>
      <c r="L271" s="97"/>
      <c r="N271" s="97"/>
      <c r="O271" s="60">
        <f t="shared" si="49"/>
        <v>60000</v>
      </c>
    </row>
    <row r="272" spans="1:15" ht="29.25">
      <c r="A272" s="157" t="s">
        <v>618</v>
      </c>
      <c r="B272" s="469" t="s">
        <v>674</v>
      </c>
      <c r="C272" s="212">
        <f>78000</f>
        <v>78000</v>
      </c>
      <c r="D272" s="107"/>
      <c r="E272" s="107"/>
      <c r="F272" s="47"/>
      <c r="O272" s="60">
        <f t="shared" si="49"/>
        <v>78000</v>
      </c>
    </row>
    <row r="273" spans="1:15" ht="30">
      <c r="A273" s="30" t="s">
        <v>376</v>
      </c>
      <c r="B273" s="20" t="s">
        <v>424</v>
      </c>
      <c r="C273" s="107">
        <f>940000-51048</f>
        <v>888952</v>
      </c>
      <c r="D273" s="107">
        <f>1143781-959784+789553</f>
        <v>973550</v>
      </c>
      <c r="E273" s="107"/>
      <c r="F273" s="47">
        <f>35099-7926</f>
        <v>27173</v>
      </c>
      <c r="G273" s="94">
        <f>21752+1099+6700</f>
        <v>29551</v>
      </c>
      <c r="H273" s="94">
        <f>14560+914-11990</f>
        <v>3484</v>
      </c>
      <c r="J273" s="94">
        <v>75396</v>
      </c>
      <c r="K273" s="94">
        <f>645+124-769</f>
        <v>0</v>
      </c>
      <c r="L273" s="94">
        <v>102</v>
      </c>
      <c r="N273" s="94">
        <f>10424+213-6404</f>
        <v>4233</v>
      </c>
      <c r="O273" s="60">
        <f t="shared" si="49"/>
        <v>2002441</v>
      </c>
    </row>
    <row r="274" spans="1:15" ht="30">
      <c r="A274" s="213" t="s">
        <v>323</v>
      </c>
      <c r="B274" s="489" t="s">
        <v>324</v>
      </c>
      <c r="C274" s="60">
        <f aca="true" t="shared" si="51" ref="C274:N274">C48-C268-C269-C270-C271-C272-C273</f>
        <v>9562918</v>
      </c>
      <c r="D274" s="60">
        <f t="shared" si="51"/>
        <v>-1707972</v>
      </c>
      <c r="E274" s="60">
        <f t="shared" si="51"/>
        <v>-1288281</v>
      </c>
      <c r="F274" s="60">
        <f t="shared" si="51"/>
        <v>-115700</v>
      </c>
      <c r="G274" s="60">
        <f t="shared" si="51"/>
        <v>-1944158</v>
      </c>
      <c r="H274" s="60">
        <f t="shared" si="51"/>
        <v>-409833</v>
      </c>
      <c r="I274" s="60">
        <f t="shared" si="51"/>
        <v>-730912</v>
      </c>
      <c r="J274" s="60">
        <f t="shared" si="51"/>
        <v>-1875096</v>
      </c>
      <c r="K274" s="60">
        <f t="shared" si="51"/>
        <v>-153191</v>
      </c>
      <c r="L274" s="60">
        <f t="shared" si="51"/>
        <v>-224609</v>
      </c>
      <c r="M274" s="60">
        <f t="shared" si="51"/>
        <v>-250834</v>
      </c>
      <c r="N274" s="60">
        <f t="shared" si="51"/>
        <v>-862332</v>
      </c>
      <c r="O274" s="60">
        <f t="shared" si="49"/>
        <v>0</v>
      </c>
    </row>
    <row r="275" spans="1:15" ht="15">
      <c r="A275" s="213"/>
      <c r="B275" s="518"/>
      <c r="C275" s="519"/>
      <c r="D275" s="519"/>
      <c r="E275" s="60"/>
      <c r="F275" s="60"/>
      <c r="G275" s="60"/>
      <c r="H275" s="60"/>
      <c r="I275" s="60"/>
      <c r="J275" s="60"/>
      <c r="K275" s="60"/>
      <c r="L275" s="60"/>
      <c r="M275" s="60"/>
      <c r="N275" s="60"/>
      <c r="O275" s="60"/>
    </row>
    <row r="276" spans="2:19" s="342" customFormat="1" ht="15">
      <c r="B276" s="343"/>
      <c r="C276" s="344"/>
      <c r="D276" s="344"/>
      <c r="E276" s="344"/>
      <c r="F276" s="344"/>
      <c r="G276" s="344"/>
      <c r="H276" s="344"/>
      <c r="I276" s="344"/>
      <c r="J276" s="344"/>
      <c r="K276" s="344"/>
      <c r="L276" s="344"/>
      <c r="M276" s="344"/>
      <c r="N276" s="344"/>
      <c r="O276" s="345"/>
      <c r="P276" s="94"/>
      <c r="Q276" s="94"/>
      <c r="R276" s="94"/>
      <c r="S276" s="94"/>
    </row>
    <row r="277" spans="2:15" ht="15">
      <c r="B277" s="161" t="s">
        <v>372</v>
      </c>
      <c r="D277" s="96" t="s">
        <v>37</v>
      </c>
      <c r="O277" s="214">
        <f>O274-O33</f>
        <v>0</v>
      </c>
    </row>
    <row r="278" spans="1:15" ht="15">
      <c r="A278" s="100"/>
      <c r="B278" s="163"/>
      <c r="C278" s="60"/>
      <c r="D278" s="60"/>
      <c r="E278" s="60"/>
      <c r="F278" s="60"/>
      <c r="G278" s="341"/>
      <c r="H278" s="341"/>
      <c r="I278" s="341"/>
      <c r="J278" s="341"/>
      <c r="K278" s="341"/>
      <c r="L278" s="341"/>
      <c r="M278" s="341"/>
      <c r="N278" s="341"/>
      <c r="O278" s="47"/>
    </row>
    <row r="279" spans="2:15" ht="15">
      <c r="B279" s="161"/>
      <c r="D279" s="107"/>
      <c r="E279" s="107"/>
      <c r="F279" s="107"/>
      <c r="G279" s="107"/>
      <c r="H279" s="107"/>
      <c r="I279" s="107"/>
      <c r="J279" s="107"/>
      <c r="K279" s="107"/>
      <c r="L279" s="107"/>
      <c r="M279" s="107"/>
      <c r="N279" s="107"/>
      <c r="O279" s="107"/>
    </row>
    <row r="280" spans="1:6" ht="44.25" customHeight="1" thickBot="1">
      <c r="A280" s="621" t="s">
        <v>619</v>
      </c>
      <c r="B280" s="621"/>
      <c r="C280" s="621"/>
      <c r="D280" s="621"/>
      <c r="E280" s="107"/>
      <c r="F280" s="107"/>
    </row>
    <row r="281" spans="1:15" ht="105.75" customHeight="1" thickBot="1">
      <c r="A281" s="101" t="s">
        <v>23</v>
      </c>
      <c r="B281" s="102" t="s">
        <v>166</v>
      </c>
      <c r="C281" s="223" t="s">
        <v>559</v>
      </c>
      <c r="D281" s="224" t="s">
        <v>675</v>
      </c>
      <c r="E281" s="103" t="s">
        <v>560</v>
      </c>
      <c r="F281" s="103" t="s">
        <v>561</v>
      </c>
      <c r="G281" s="471" t="s">
        <v>562</v>
      </c>
      <c r="H281" s="471" t="s">
        <v>563</v>
      </c>
      <c r="I281" s="471" t="s">
        <v>564</v>
      </c>
      <c r="J281" s="471" t="s">
        <v>565</v>
      </c>
      <c r="K281" s="471" t="s">
        <v>566</v>
      </c>
      <c r="L281" s="471" t="s">
        <v>567</v>
      </c>
      <c r="M281" s="471" t="s">
        <v>568</v>
      </c>
      <c r="N281" s="472" t="s">
        <v>569</v>
      </c>
      <c r="O281" s="473" t="s">
        <v>570</v>
      </c>
    </row>
    <row r="282" spans="1:15" ht="15">
      <c r="A282" s="215">
        <v>1100</v>
      </c>
      <c r="B282" s="137" t="s">
        <v>222</v>
      </c>
      <c r="C282" s="259">
        <f>10434460+111945+1000+1556386-4204-110+870-3000+910-363+198</f>
        <v>12098092</v>
      </c>
      <c r="D282" s="259">
        <v>2017817</v>
      </c>
      <c r="E282" s="259">
        <v>624841</v>
      </c>
      <c r="F282" s="259">
        <v>69007</v>
      </c>
      <c r="G282" s="530">
        <v>1241942</v>
      </c>
      <c r="H282" s="531">
        <v>220814</v>
      </c>
      <c r="I282" s="532">
        <v>433655</v>
      </c>
      <c r="J282" s="532">
        <f>1409205+293</f>
        <v>1409498</v>
      </c>
      <c r="K282" s="259">
        <v>91749</v>
      </c>
      <c r="L282" s="532">
        <v>135707</v>
      </c>
      <c r="M282" s="259">
        <v>150803</v>
      </c>
      <c r="N282" s="532">
        <v>541033</v>
      </c>
      <c r="O282" s="329">
        <f aca="true" t="shared" si="52" ref="O282:O304">SUM(C282:N282)</f>
        <v>19034958</v>
      </c>
    </row>
    <row r="283" spans="1:15" ht="45">
      <c r="A283" s="141">
        <v>1200</v>
      </c>
      <c r="B283" s="112" t="s">
        <v>325</v>
      </c>
      <c r="C283" s="38">
        <f>3155345+35792+240+375186+40876+210+264+52-198</f>
        <v>3607767</v>
      </c>
      <c r="D283" s="38">
        <v>470894</v>
      </c>
      <c r="E283" s="38">
        <v>188502</v>
      </c>
      <c r="F283" s="38">
        <v>20676</v>
      </c>
      <c r="G283" s="533">
        <v>357593</v>
      </c>
      <c r="H283" s="534">
        <v>96360</v>
      </c>
      <c r="I283" s="38">
        <v>131130</v>
      </c>
      <c r="J283" s="535">
        <f>425913+71</f>
        <v>425984</v>
      </c>
      <c r="K283" s="114">
        <v>29048</v>
      </c>
      <c r="L283" s="535">
        <v>41166</v>
      </c>
      <c r="M283" s="38">
        <v>44174</v>
      </c>
      <c r="N283" s="536">
        <v>168175</v>
      </c>
      <c r="O283" s="321">
        <f t="shared" si="52"/>
        <v>5581469</v>
      </c>
    </row>
    <row r="284" spans="1:15" ht="15">
      <c r="A284" s="141">
        <v>2000</v>
      </c>
      <c r="B284" s="112" t="s">
        <v>201</v>
      </c>
      <c r="C284" s="38">
        <f>SUM(C285:C290)</f>
        <v>5610451</v>
      </c>
      <c r="D284" s="38">
        <f>SUM(D285:D290)</f>
        <v>5784046</v>
      </c>
      <c r="E284" s="38">
        <f>SUM(E285:E290)</f>
        <v>548948</v>
      </c>
      <c r="F284" s="38">
        <f>SUM(F285:F290)</f>
        <v>262730</v>
      </c>
      <c r="G284" s="38">
        <f>SUM(G285:G290)</f>
        <v>567621</v>
      </c>
      <c r="H284" s="535">
        <f>SUM(H285:H289)</f>
        <v>325674</v>
      </c>
      <c r="I284" s="38">
        <f aca="true" t="shared" si="53" ref="I284:N284">SUM(I285:I290)</f>
        <v>374437</v>
      </c>
      <c r="J284" s="535">
        <f t="shared" si="53"/>
        <v>823162</v>
      </c>
      <c r="K284" s="114">
        <f t="shared" si="53"/>
        <v>90621</v>
      </c>
      <c r="L284" s="535">
        <f t="shared" si="53"/>
        <v>73041</v>
      </c>
      <c r="M284" s="38">
        <f t="shared" si="53"/>
        <v>89529</v>
      </c>
      <c r="N284" s="535">
        <f t="shared" si="53"/>
        <v>200100</v>
      </c>
      <c r="O284" s="321">
        <f t="shared" si="52"/>
        <v>14750360</v>
      </c>
    </row>
    <row r="285" spans="1:15" ht="30">
      <c r="A285" s="141">
        <v>2100</v>
      </c>
      <c r="B285" s="112" t="s">
        <v>403</v>
      </c>
      <c r="C285" s="38">
        <f>53768+12630+2638+13478+392+1500-100+129</f>
        <v>84435</v>
      </c>
      <c r="D285" s="38">
        <v>1000</v>
      </c>
      <c r="E285" s="38">
        <v>80</v>
      </c>
      <c r="F285" s="38"/>
      <c r="G285" s="300">
        <v>850</v>
      </c>
      <c r="H285" s="535">
        <v>1070</v>
      </c>
      <c r="I285" s="38">
        <v>216</v>
      </c>
      <c r="J285" s="535">
        <v>1123</v>
      </c>
      <c r="K285" s="114"/>
      <c r="L285" s="535">
        <v>83</v>
      </c>
      <c r="M285" s="236">
        <v>1150</v>
      </c>
      <c r="N285" s="535">
        <v>410</v>
      </c>
      <c r="O285" s="321">
        <f t="shared" si="52"/>
        <v>90417</v>
      </c>
    </row>
    <row r="286" spans="1:15" ht="15">
      <c r="A286" s="141">
        <v>2200</v>
      </c>
      <c r="B286" s="112" t="s">
        <v>203</v>
      </c>
      <c r="C286" s="38">
        <f>5438408-465486+1534-2000-2840-47667-14900-6000-893258-60000-500+110-1080+7864+5200+3000-1500-670-100-1308+363+8712+2505</f>
        <v>3970387</v>
      </c>
      <c r="D286" s="38">
        <f>4029909+16417+6304</f>
        <v>4052630</v>
      </c>
      <c r="E286" s="38">
        <v>376180</v>
      </c>
      <c r="F286" s="38">
        <v>244232</v>
      </c>
      <c r="G286" s="300">
        <v>307606</v>
      </c>
      <c r="H286" s="535">
        <v>169896</v>
      </c>
      <c r="I286" s="38">
        <v>232776</v>
      </c>
      <c r="J286" s="536">
        <v>501526</v>
      </c>
      <c r="K286" s="114">
        <v>59732</v>
      </c>
      <c r="L286" s="535">
        <v>42564</v>
      </c>
      <c r="M286" s="236">
        <v>62209</v>
      </c>
      <c r="N286" s="535">
        <v>77399</v>
      </c>
      <c r="O286" s="321">
        <f t="shared" si="52"/>
        <v>10097137</v>
      </c>
    </row>
    <row r="287" spans="1:15" ht="30">
      <c r="A287" s="141">
        <v>2300</v>
      </c>
      <c r="B287" s="112" t="s">
        <v>204</v>
      </c>
      <c r="C287" s="38">
        <f>1220111+206387+2000+1600-95325+39303+21728-475-4689+100+446-129-2505</f>
        <v>1388552</v>
      </c>
      <c r="D287" s="38">
        <v>1312639</v>
      </c>
      <c r="E287" s="38">
        <v>168408</v>
      </c>
      <c r="F287" s="38">
        <v>10420</v>
      </c>
      <c r="G287" s="300">
        <f>255599-76</f>
        <v>255523</v>
      </c>
      <c r="H287" s="535">
        <v>131347</v>
      </c>
      <c r="I287" s="38">
        <f>131218-46-21</f>
        <v>131151</v>
      </c>
      <c r="J287" s="536">
        <f>304411+27+46-364-3</f>
        <v>304117</v>
      </c>
      <c r="K287" s="114">
        <v>28319</v>
      </c>
      <c r="L287" s="535">
        <v>28474</v>
      </c>
      <c r="M287" s="236">
        <v>24370</v>
      </c>
      <c r="N287" s="535">
        <f>107390-6</f>
        <v>107384</v>
      </c>
      <c r="O287" s="321">
        <f t="shared" si="52"/>
        <v>3890704</v>
      </c>
    </row>
    <row r="288" spans="1:15" ht="15">
      <c r="A288" s="141">
        <v>2400</v>
      </c>
      <c r="B288" s="112" t="s">
        <v>205</v>
      </c>
      <c r="C288" s="38">
        <f>5270-174</f>
        <v>5096</v>
      </c>
      <c r="D288" s="38"/>
      <c r="E288" s="38"/>
      <c r="F288" s="38"/>
      <c r="G288" s="300">
        <v>2142</v>
      </c>
      <c r="H288" s="535">
        <v>600</v>
      </c>
      <c r="I288" s="38">
        <v>576</v>
      </c>
      <c r="J288" s="535">
        <v>1447</v>
      </c>
      <c r="K288" s="114">
        <v>820</v>
      </c>
      <c r="L288" s="535">
        <v>550</v>
      </c>
      <c r="M288" s="38">
        <v>1100</v>
      </c>
      <c r="N288" s="535">
        <v>1814</v>
      </c>
      <c r="O288" s="321">
        <f t="shared" si="52"/>
        <v>14145</v>
      </c>
    </row>
    <row r="289" spans="1:15" ht="15">
      <c r="A289" s="141">
        <v>2500</v>
      </c>
      <c r="B289" s="112" t="s">
        <v>206</v>
      </c>
      <c r="C289" s="38">
        <f>37000-800-2000+381</f>
        <v>34581</v>
      </c>
      <c r="D289" s="38">
        <v>417777</v>
      </c>
      <c r="E289" s="38">
        <v>4280</v>
      </c>
      <c r="F289" s="38">
        <v>8078</v>
      </c>
      <c r="G289" s="300">
        <v>1500</v>
      </c>
      <c r="H289" s="535">
        <v>22761</v>
      </c>
      <c r="I289" s="38">
        <v>9718</v>
      </c>
      <c r="J289" s="535">
        <v>14949</v>
      </c>
      <c r="K289" s="114">
        <v>1750</v>
      </c>
      <c r="L289" s="535">
        <v>1370</v>
      </c>
      <c r="M289" s="38">
        <v>700</v>
      </c>
      <c r="N289" s="535">
        <v>13093</v>
      </c>
      <c r="O289" s="321">
        <f t="shared" si="52"/>
        <v>530557</v>
      </c>
    </row>
    <row r="290" spans="1:15" ht="45">
      <c r="A290" s="141">
        <v>2800</v>
      </c>
      <c r="B290" s="112" t="s">
        <v>326</v>
      </c>
      <c r="C290" s="38">
        <f>127400</f>
        <v>127400</v>
      </c>
      <c r="D290" s="38"/>
      <c r="E290" s="38"/>
      <c r="F290" s="38"/>
      <c r="G290" s="300">
        <v>0</v>
      </c>
      <c r="H290" s="535"/>
      <c r="I290" s="38"/>
      <c r="J290" s="535"/>
      <c r="K290" s="114"/>
      <c r="L290" s="535"/>
      <c r="M290" s="38"/>
      <c r="N290" s="535"/>
      <c r="O290" s="321">
        <f t="shared" si="52"/>
        <v>127400</v>
      </c>
    </row>
    <row r="291" spans="1:15" ht="30">
      <c r="A291" s="141">
        <v>3200</v>
      </c>
      <c r="B291" s="112" t="s">
        <v>327</v>
      </c>
      <c r="C291" s="38">
        <f>128338+681899+95325-62461+4746+14900+4958+975</f>
        <v>868680</v>
      </c>
      <c r="D291" s="38"/>
      <c r="E291" s="38"/>
      <c r="F291" s="38"/>
      <c r="G291" s="300">
        <v>0</v>
      </c>
      <c r="H291" s="535"/>
      <c r="I291" s="38"/>
      <c r="J291" s="535"/>
      <c r="K291" s="114"/>
      <c r="L291" s="535"/>
      <c r="M291" s="38"/>
      <c r="N291" s="535"/>
      <c r="O291" s="321">
        <f t="shared" si="52"/>
        <v>868680</v>
      </c>
    </row>
    <row r="292" spans="1:15" ht="15">
      <c r="A292" s="141">
        <v>4200</v>
      </c>
      <c r="B292" s="112" t="s">
        <v>457</v>
      </c>
      <c r="C292" s="38"/>
      <c r="D292" s="38"/>
      <c r="E292" s="38"/>
      <c r="F292" s="38"/>
      <c r="G292" s="300">
        <v>0</v>
      </c>
      <c r="H292" s="535"/>
      <c r="I292" s="38"/>
      <c r="J292" s="535"/>
      <c r="K292" s="114"/>
      <c r="L292" s="535"/>
      <c r="M292" s="38"/>
      <c r="N292" s="535"/>
      <c r="O292" s="321">
        <f t="shared" si="52"/>
        <v>0</v>
      </c>
    </row>
    <row r="293" spans="1:15" ht="15">
      <c r="A293" s="141">
        <v>4300</v>
      </c>
      <c r="B293" s="112" t="s">
        <v>207</v>
      </c>
      <c r="C293" s="38">
        <v>44530</v>
      </c>
      <c r="D293" s="38"/>
      <c r="E293" s="38"/>
      <c r="F293" s="38">
        <f>102-102</f>
        <v>0</v>
      </c>
      <c r="G293" s="300">
        <v>700</v>
      </c>
      <c r="H293" s="535">
        <f>SUM('[1]Izmaksas PB pa lielajiem EKK'!$D$14)</f>
        <v>100</v>
      </c>
      <c r="I293" s="38">
        <v>12</v>
      </c>
      <c r="J293" s="535">
        <v>2</v>
      </c>
      <c r="K293" s="114"/>
      <c r="L293" s="535">
        <v>80</v>
      </c>
      <c r="M293" s="38">
        <v>170</v>
      </c>
      <c r="N293" s="535">
        <v>0</v>
      </c>
      <c r="O293" s="321">
        <f t="shared" si="52"/>
        <v>45594</v>
      </c>
    </row>
    <row r="294" spans="1:15" ht="15">
      <c r="A294" s="141">
        <v>5100</v>
      </c>
      <c r="B294" s="112" t="s">
        <v>156</v>
      </c>
      <c r="C294" s="38">
        <f>8750+16816-350-8382</f>
        <v>16834</v>
      </c>
      <c r="D294" s="38">
        <v>1452</v>
      </c>
      <c r="E294" s="38"/>
      <c r="F294" s="38"/>
      <c r="G294" s="300">
        <v>210</v>
      </c>
      <c r="H294" s="535">
        <v>0</v>
      </c>
      <c r="I294" s="38"/>
      <c r="J294" s="535">
        <v>1083</v>
      </c>
      <c r="K294" s="114"/>
      <c r="L294" s="535"/>
      <c r="M294" s="38"/>
      <c r="N294" s="535">
        <v>171</v>
      </c>
      <c r="O294" s="321">
        <f t="shared" si="52"/>
        <v>19750</v>
      </c>
    </row>
    <row r="295" spans="1:15" ht="15">
      <c r="A295" s="141">
        <v>5200</v>
      </c>
      <c r="B295" s="112" t="s">
        <v>208</v>
      </c>
      <c r="C295" s="38">
        <f>27219469+292321-1534-15539+120813-10355226+1800-392+60000-3175-5200-8712</f>
        <v>17304625</v>
      </c>
      <c r="D295" s="38">
        <v>420244</v>
      </c>
      <c r="E295" s="38">
        <v>225260</v>
      </c>
      <c r="F295" s="38">
        <v>14245</v>
      </c>
      <c r="G295" s="300">
        <v>42801</v>
      </c>
      <c r="H295" s="535">
        <v>13990</v>
      </c>
      <c r="I295" s="38">
        <v>25170</v>
      </c>
      <c r="J295" s="535">
        <v>106179</v>
      </c>
      <c r="K295" s="114">
        <v>7900</v>
      </c>
      <c r="L295" s="535">
        <v>32175</v>
      </c>
      <c r="M295" s="38">
        <v>15358</v>
      </c>
      <c r="N295" s="535">
        <v>31533</v>
      </c>
      <c r="O295" s="321">
        <f t="shared" si="52"/>
        <v>18239480</v>
      </c>
    </row>
    <row r="296" spans="1:15" ht="15">
      <c r="A296" s="141">
        <v>6200</v>
      </c>
      <c r="B296" s="112" t="s">
        <v>209</v>
      </c>
      <c r="C296" s="38">
        <f>319287+11612+1900-26067</f>
        <v>306732</v>
      </c>
      <c r="D296" s="38"/>
      <c r="E296" s="38"/>
      <c r="F296" s="38"/>
      <c r="G296" s="300">
        <v>51311</v>
      </c>
      <c r="H296" s="535">
        <f>SUM('[1]Izmaksas PB pa lielajiem EKK'!$D$18)</f>
        <v>28016</v>
      </c>
      <c r="I296" s="38">
        <v>28016</v>
      </c>
      <c r="J296" s="535">
        <v>18680</v>
      </c>
      <c r="K296" s="114">
        <v>28184</v>
      </c>
      <c r="L296" s="535">
        <v>13472</v>
      </c>
      <c r="M296" s="38">
        <v>20620</v>
      </c>
      <c r="N296" s="535">
        <v>24308</v>
      </c>
      <c r="O296" s="321">
        <f t="shared" si="52"/>
        <v>519339</v>
      </c>
    </row>
    <row r="297" spans="1:15" ht="15">
      <c r="A297" s="141">
        <v>6300</v>
      </c>
      <c r="B297" s="112" t="s">
        <v>210</v>
      </c>
      <c r="C297" s="38">
        <f>267000+20200+2810</f>
        <v>290010</v>
      </c>
      <c r="D297" s="38"/>
      <c r="E297" s="38"/>
      <c r="F297" s="38"/>
      <c r="G297" s="300">
        <v>10000</v>
      </c>
      <c r="H297" s="535">
        <f>SUM('[1]Izmaksas PB pa lielajiem EKK'!$D$19)</f>
        <v>5500</v>
      </c>
      <c r="I297" s="38">
        <v>2460</v>
      </c>
      <c r="J297" s="535">
        <v>10300</v>
      </c>
      <c r="K297" s="114">
        <v>350</v>
      </c>
      <c r="L297" s="535">
        <v>72</v>
      </c>
      <c r="M297" s="38"/>
      <c r="N297" s="535">
        <v>3000</v>
      </c>
      <c r="O297" s="321">
        <f t="shared" si="52"/>
        <v>321692</v>
      </c>
    </row>
    <row r="298" spans="1:15" ht="30">
      <c r="A298" s="141">
        <v>6400</v>
      </c>
      <c r="B298" s="112" t="s">
        <v>328</v>
      </c>
      <c r="C298" s="38">
        <f>540338-20200+30876+406</f>
        <v>551420</v>
      </c>
      <c r="D298" s="38"/>
      <c r="E298" s="38"/>
      <c r="F298" s="38"/>
      <c r="G298" s="300">
        <v>19986</v>
      </c>
      <c r="H298" s="535">
        <f>SUM('[1]Izmaksas PB pa lielajiem EKK'!$D$20)</f>
        <v>10735</v>
      </c>
      <c r="I298" s="38">
        <v>10187</v>
      </c>
      <c r="J298" s="535">
        <v>19221</v>
      </c>
      <c r="K298" s="114">
        <v>939</v>
      </c>
      <c r="L298" s="535">
        <v>9842</v>
      </c>
      <c r="M298" s="38">
        <v>200</v>
      </c>
      <c r="N298" s="535">
        <v>13686</v>
      </c>
      <c r="O298" s="321">
        <f t="shared" si="52"/>
        <v>636216</v>
      </c>
    </row>
    <row r="299" spans="1:15" ht="30">
      <c r="A299" s="141">
        <v>6500</v>
      </c>
      <c r="B299" s="112" t="s">
        <v>404</v>
      </c>
      <c r="C299" s="38"/>
      <c r="D299" s="38"/>
      <c r="E299" s="38"/>
      <c r="F299" s="38"/>
      <c r="G299" s="300"/>
      <c r="H299" s="535"/>
      <c r="I299" s="38"/>
      <c r="J299" s="535"/>
      <c r="K299" s="114"/>
      <c r="L299" s="38"/>
      <c r="M299" s="38"/>
      <c r="N299" s="535"/>
      <c r="O299" s="321">
        <f t="shared" si="52"/>
        <v>0</v>
      </c>
    </row>
    <row r="300" spans="1:15" ht="15">
      <c r="A300" s="141">
        <v>7200</v>
      </c>
      <c r="B300" s="112" t="s">
        <v>329</v>
      </c>
      <c r="C300" s="38">
        <f>715000-8641+3756</f>
        <v>710115</v>
      </c>
      <c r="D300" s="38"/>
      <c r="E300" s="38"/>
      <c r="F300" s="38"/>
      <c r="G300" s="300">
        <v>2682</v>
      </c>
      <c r="H300" s="535">
        <v>16189</v>
      </c>
      <c r="I300" s="38">
        <v>18929</v>
      </c>
      <c r="J300" s="535">
        <v>10040</v>
      </c>
      <c r="K300" s="114">
        <v>3500</v>
      </c>
      <c r="L300" s="38">
        <v>400</v>
      </c>
      <c r="M300" s="38">
        <v>2880</v>
      </c>
      <c r="N300" s="535">
        <v>11913</v>
      </c>
      <c r="O300" s="321">
        <f t="shared" si="52"/>
        <v>776648</v>
      </c>
    </row>
    <row r="301" spans="1:15" ht="15">
      <c r="A301" s="141">
        <v>7700</v>
      </c>
      <c r="B301" s="112" t="s">
        <v>552</v>
      </c>
      <c r="C301" s="38"/>
      <c r="D301" s="38"/>
      <c r="E301" s="38"/>
      <c r="F301" s="38"/>
      <c r="G301" s="300"/>
      <c r="H301" s="535"/>
      <c r="I301" s="38"/>
      <c r="J301" s="38"/>
      <c r="K301" s="114"/>
      <c r="L301" s="38"/>
      <c r="M301" s="38"/>
      <c r="N301" s="114"/>
      <c r="O301" s="321">
        <f t="shared" si="52"/>
        <v>0</v>
      </c>
    </row>
    <row r="302" spans="1:15" ht="15">
      <c r="A302" s="141">
        <v>8100</v>
      </c>
      <c r="B302" s="130" t="s">
        <v>458</v>
      </c>
      <c r="C302" s="38"/>
      <c r="D302" s="38"/>
      <c r="E302" s="38">
        <v>3</v>
      </c>
      <c r="F302" s="38"/>
      <c r="G302" s="300"/>
      <c r="H302" s="537"/>
      <c r="I302" s="38"/>
      <c r="J302" s="38"/>
      <c r="K302" s="114"/>
      <c r="L302" s="38"/>
      <c r="M302" s="38"/>
      <c r="N302" s="114"/>
      <c r="O302" s="321">
        <f t="shared" si="52"/>
        <v>3</v>
      </c>
    </row>
    <row r="303" spans="1:15" ht="15.75" thickBot="1">
      <c r="A303" s="134">
        <v>9200</v>
      </c>
      <c r="B303" s="240" t="s">
        <v>677</v>
      </c>
      <c r="C303" s="138">
        <f>456+1800</f>
        <v>2256</v>
      </c>
      <c r="D303" s="138"/>
      <c r="E303" s="138"/>
      <c r="F303" s="138"/>
      <c r="G303" s="301"/>
      <c r="H303" s="537"/>
      <c r="I303" s="538"/>
      <c r="J303" s="511"/>
      <c r="K303" s="138"/>
      <c r="L303" s="138"/>
      <c r="M303" s="138"/>
      <c r="N303" s="229"/>
      <c r="O303" s="321">
        <f t="shared" si="52"/>
        <v>2256</v>
      </c>
    </row>
    <row r="304" spans="1:15" ht="15.75" thickBot="1">
      <c r="A304" s="209"/>
      <c r="B304" s="217" t="s">
        <v>211</v>
      </c>
      <c r="C304" s="241">
        <f>SUM(C282:C284,C291:C303)</f>
        <v>41411512</v>
      </c>
      <c r="D304" s="241">
        <f aca="true" t="shared" si="54" ref="D304:N304">SUM(D282:D284,D291:D303)</f>
        <v>8694453</v>
      </c>
      <c r="E304" s="241">
        <f t="shared" si="54"/>
        <v>1587554</v>
      </c>
      <c r="F304" s="241">
        <f t="shared" si="54"/>
        <v>366658</v>
      </c>
      <c r="G304" s="241">
        <f t="shared" si="54"/>
        <v>2294846</v>
      </c>
      <c r="H304" s="241">
        <f t="shared" si="54"/>
        <v>717378</v>
      </c>
      <c r="I304" s="512">
        <f t="shared" si="54"/>
        <v>1023996</v>
      </c>
      <c r="J304" s="241">
        <f t="shared" si="54"/>
        <v>2824149</v>
      </c>
      <c r="K304" s="241">
        <f t="shared" si="54"/>
        <v>252291</v>
      </c>
      <c r="L304" s="241">
        <f t="shared" si="54"/>
        <v>305955</v>
      </c>
      <c r="M304" s="241">
        <f t="shared" si="54"/>
        <v>323734</v>
      </c>
      <c r="N304" s="241">
        <f t="shared" si="54"/>
        <v>993919</v>
      </c>
      <c r="O304" s="307">
        <f t="shared" si="52"/>
        <v>60796445</v>
      </c>
    </row>
    <row r="305" spans="2:6" ht="15">
      <c r="B305" s="218"/>
      <c r="C305" s="47"/>
      <c r="D305" s="47"/>
      <c r="E305" s="107"/>
      <c r="F305" s="107"/>
    </row>
    <row r="306" spans="2:15" ht="15">
      <c r="B306" s="218"/>
      <c r="C306" s="47"/>
      <c r="D306" s="47"/>
      <c r="E306" s="107"/>
      <c r="F306" s="107"/>
      <c r="O306" s="212"/>
    </row>
    <row r="307" spans="2:6" ht="15">
      <c r="B307" s="161" t="s">
        <v>372</v>
      </c>
      <c r="C307" s="47"/>
      <c r="D307" s="47"/>
      <c r="E307" s="107" t="s">
        <v>37</v>
      </c>
      <c r="F307" s="107"/>
    </row>
    <row r="308" ht="15">
      <c r="B308" s="399"/>
    </row>
    <row r="309" ht="15">
      <c r="C309" s="366"/>
    </row>
    <row r="312" ht="15">
      <c r="B312" s="161"/>
    </row>
  </sheetData>
  <sheetProtection/>
  <mergeCells count="3">
    <mergeCell ref="A5:D5"/>
    <mergeCell ref="A60:D60"/>
    <mergeCell ref="A280:D280"/>
  </mergeCells>
  <printOptions/>
  <pageMargins left="0.55" right="0.17" top="0.7874015748031497" bottom="0.5905511811023623"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K74"/>
  <sheetViews>
    <sheetView zoomScalePageLayoutView="0" workbookViewId="0" topLeftCell="A1">
      <selection activeCell="G10" sqref="G10"/>
    </sheetView>
  </sheetViews>
  <sheetFormatPr defaultColWidth="9.140625" defaultRowHeight="12.75"/>
  <cols>
    <col min="1" max="1" width="41.57421875" style="76" customWidth="1"/>
    <col min="2" max="2" width="9.140625" style="76" customWidth="1"/>
    <col min="3" max="3" width="11.00390625" style="76" bestFit="1" customWidth="1"/>
    <col min="4" max="4" width="13.28125" style="76" customWidth="1"/>
    <col min="5" max="5" width="10.28125" style="76" customWidth="1"/>
    <col min="6" max="6" width="12.8515625" style="76" customWidth="1"/>
    <col min="7" max="7" width="10.57421875" style="76" customWidth="1"/>
    <col min="8" max="16384" width="9.140625" style="76" customWidth="1"/>
  </cols>
  <sheetData>
    <row r="1" ht="12.75">
      <c r="D1" s="76" t="s">
        <v>38</v>
      </c>
    </row>
    <row r="2" spans="1:6" ht="18.75">
      <c r="A2" s="623" t="s">
        <v>620</v>
      </c>
      <c r="B2" s="623"/>
      <c r="C2" s="623"/>
      <c r="D2" s="623"/>
      <c r="E2" s="623"/>
      <c r="F2" s="623"/>
    </row>
    <row r="3" spans="1:7" ht="90">
      <c r="A3" s="85" t="s">
        <v>22</v>
      </c>
      <c r="B3" s="86" t="s">
        <v>23</v>
      </c>
      <c r="C3" s="27" t="s">
        <v>621</v>
      </c>
      <c r="D3" s="87" t="s">
        <v>676</v>
      </c>
      <c r="E3" s="87" t="s">
        <v>622</v>
      </c>
      <c r="F3" s="87" t="s">
        <v>623</v>
      </c>
      <c r="G3" s="88"/>
    </row>
    <row r="4" spans="1:7" ht="30">
      <c r="A4" s="20" t="s">
        <v>169</v>
      </c>
      <c r="B4" s="21" t="s">
        <v>42</v>
      </c>
      <c r="C4" s="24"/>
      <c r="D4" s="13"/>
      <c r="E4" s="13"/>
      <c r="F4" s="13"/>
      <c r="G4" s="14"/>
    </row>
    <row r="5" spans="1:7" ht="15">
      <c r="A5" s="20" t="s">
        <v>45</v>
      </c>
      <c r="B5" s="21" t="s">
        <v>27</v>
      </c>
      <c r="C5" s="24"/>
      <c r="D5" s="13"/>
      <c r="E5" s="13"/>
      <c r="F5" s="13"/>
      <c r="G5" s="14"/>
    </row>
    <row r="6" spans="1:7" ht="15">
      <c r="A6" s="20" t="s">
        <v>46</v>
      </c>
      <c r="B6" s="21" t="s">
        <v>28</v>
      </c>
      <c r="C6" s="24"/>
      <c r="D6" s="13"/>
      <c r="E6" s="13"/>
      <c r="F6" s="13"/>
      <c r="G6" s="14"/>
    </row>
    <row r="7" spans="1:7" ht="30">
      <c r="A7" s="20" t="s">
        <v>173</v>
      </c>
      <c r="B7" s="222" t="s">
        <v>172</v>
      </c>
      <c r="C7" s="24"/>
      <c r="D7" s="13"/>
      <c r="E7" s="13"/>
      <c r="F7" s="13"/>
      <c r="G7" s="14"/>
    </row>
    <row r="8" spans="1:7" ht="30">
      <c r="A8" s="20" t="s">
        <v>50</v>
      </c>
      <c r="B8" s="222" t="s">
        <v>49</v>
      </c>
      <c r="C8" s="24"/>
      <c r="D8" s="13"/>
      <c r="E8" s="13"/>
      <c r="F8" s="13"/>
      <c r="G8" s="14"/>
    </row>
    <row r="9" spans="1:7" ht="15">
      <c r="A9" s="20" t="s">
        <v>175</v>
      </c>
      <c r="B9" s="222" t="s">
        <v>174</v>
      </c>
      <c r="C9" s="24"/>
      <c r="D9" s="13"/>
      <c r="E9" s="13"/>
      <c r="F9" s="13"/>
      <c r="G9" s="14"/>
    </row>
    <row r="10" spans="1:7" ht="15">
      <c r="A10" s="20" t="s">
        <v>51</v>
      </c>
      <c r="B10" s="222" t="s">
        <v>176</v>
      </c>
      <c r="C10" s="24">
        <v>0</v>
      </c>
      <c r="D10" s="13"/>
      <c r="E10" s="13"/>
      <c r="F10" s="13"/>
      <c r="G10" s="14"/>
    </row>
    <row r="11" spans="1:7" ht="30" customHeight="1">
      <c r="A11" s="20" t="s">
        <v>238</v>
      </c>
      <c r="B11" s="21" t="s">
        <v>237</v>
      </c>
      <c r="C11" s="24">
        <f>D37+D58+D65</f>
        <v>-3716246</v>
      </c>
      <c r="D11" s="13"/>
      <c r="E11" s="13"/>
      <c r="F11" s="13"/>
      <c r="G11" s="14"/>
    </row>
    <row r="12" spans="1:7" ht="30">
      <c r="A12" s="22" t="s">
        <v>244</v>
      </c>
      <c r="B12" s="62" t="s">
        <v>177</v>
      </c>
      <c r="C12" s="63"/>
      <c r="D12" s="13"/>
      <c r="E12" s="13"/>
      <c r="F12" s="13"/>
      <c r="G12" s="14"/>
    </row>
    <row r="13" spans="1:7" ht="30">
      <c r="A13" s="22" t="s">
        <v>245</v>
      </c>
      <c r="B13" s="62" t="s">
        <v>56</v>
      </c>
      <c r="C13" s="63">
        <v>0</v>
      </c>
      <c r="D13" s="13"/>
      <c r="E13" s="13"/>
      <c r="F13" s="13"/>
      <c r="G13" s="14"/>
    </row>
    <row r="14" spans="1:7" ht="30">
      <c r="A14" s="20" t="s">
        <v>355</v>
      </c>
      <c r="B14" s="62" t="s">
        <v>216</v>
      </c>
      <c r="C14" s="63">
        <f>D71</f>
        <v>3582</v>
      </c>
      <c r="D14" s="13"/>
      <c r="E14" s="13"/>
      <c r="F14" s="13"/>
      <c r="G14" s="14"/>
    </row>
    <row r="15" spans="1:7" ht="30">
      <c r="A15" s="20" t="s">
        <v>246</v>
      </c>
      <c r="B15" s="16" t="s">
        <v>363</v>
      </c>
      <c r="C15" s="25">
        <v>0</v>
      </c>
      <c r="D15" s="15">
        <v>845000</v>
      </c>
      <c r="E15" s="15">
        <v>15891</v>
      </c>
      <c r="F15" s="14"/>
      <c r="G15" s="14"/>
    </row>
    <row r="16" spans="1:7" ht="30">
      <c r="A16" s="20" t="s">
        <v>378</v>
      </c>
      <c r="B16" s="16" t="s">
        <v>379</v>
      </c>
      <c r="C16" s="25"/>
      <c r="D16" s="15"/>
      <c r="E16" s="15">
        <v>95</v>
      </c>
      <c r="F16" s="14"/>
      <c r="G16" s="14"/>
    </row>
    <row r="17" spans="1:9" ht="14.25">
      <c r="A17" s="17" t="s">
        <v>24</v>
      </c>
      <c r="B17" s="18"/>
      <c r="C17" s="19">
        <f>SUM(C4:C16)</f>
        <v>-3712664</v>
      </c>
      <c r="D17" s="19">
        <f>SUM(D4:D16)</f>
        <v>845000</v>
      </c>
      <c r="E17" s="19">
        <f>SUM(E4:E16)</f>
        <v>15986</v>
      </c>
      <c r="F17" s="19">
        <f>SUM(F4:F16)</f>
        <v>0</v>
      </c>
      <c r="G17" s="19">
        <f>SUM(C17:F17)</f>
        <v>-2851678</v>
      </c>
      <c r="I17" s="70"/>
    </row>
    <row r="18" spans="1:7" ht="14.25">
      <c r="A18" s="17" t="s">
        <v>624</v>
      </c>
      <c r="B18" s="18"/>
      <c r="C18" s="364"/>
      <c r="D18" s="18"/>
      <c r="E18" s="18"/>
      <c r="F18" s="18"/>
      <c r="G18" s="19">
        <f>SUM(C18:F18)</f>
        <v>0</v>
      </c>
    </row>
    <row r="19" spans="1:7" s="31" customFormat="1" ht="15">
      <c r="A19" s="29" t="s">
        <v>221</v>
      </c>
      <c r="B19" s="30"/>
      <c r="C19" s="297">
        <f>C30</f>
        <v>-7201950</v>
      </c>
      <c r="G19" s="19">
        <f>SUM(C19:F19)</f>
        <v>-7201950</v>
      </c>
    </row>
    <row r="20" spans="1:7" s="31" customFormat="1" ht="15">
      <c r="A20" s="29"/>
      <c r="B20" s="30"/>
      <c r="C20" s="297"/>
      <c r="G20" s="19"/>
    </row>
    <row r="21" spans="1:7" s="31" customFormat="1" ht="31.5">
      <c r="A21" s="77" t="s">
        <v>779</v>
      </c>
      <c r="B21" s="80"/>
      <c r="C21" s="360">
        <v>-450000</v>
      </c>
      <c r="G21" s="19"/>
    </row>
    <row r="22" spans="1:7" s="31" customFormat="1" ht="31.5">
      <c r="A22" s="77" t="s">
        <v>780</v>
      </c>
      <c r="B22" s="80"/>
      <c r="C22" s="360">
        <v>-2857374</v>
      </c>
      <c r="G22" s="19"/>
    </row>
    <row r="23" spans="1:7" s="31" customFormat="1" ht="47.25">
      <c r="A23" s="576" t="s">
        <v>782</v>
      </c>
      <c r="B23" s="80"/>
      <c r="C23" s="360">
        <v>-822779</v>
      </c>
      <c r="G23" s="19"/>
    </row>
    <row r="24" spans="1:7" s="31" customFormat="1" ht="63">
      <c r="A24" s="77" t="s">
        <v>801</v>
      </c>
      <c r="B24" s="80"/>
      <c r="C24" s="360">
        <v>806774</v>
      </c>
      <c r="G24" s="19"/>
    </row>
    <row r="25" spans="1:7" s="31" customFormat="1" ht="31.5">
      <c r="A25" s="77" t="s">
        <v>617</v>
      </c>
      <c r="B25" s="80"/>
      <c r="C25" s="360">
        <v>-820000</v>
      </c>
      <c r="G25" s="19"/>
    </row>
    <row r="26" spans="1:7" s="31" customFormat="1" ht="63">
      <c r="A26" s="77" t="s">
        <v>812</v>
      </c>
      <c r="B26" s="80"/>
      <c r="C26" s="360">
        <v>-9602</v>
      </c>
      <c r="G26" s="19"/>
    </row>
    <row r="27" spans="1:7" s="31" customFormat="1" ht="31.5">
      <c r="A27" s="77" t="s">
        <v>813</v>
      </c>
      <c r="B27" s="80"/>
      <c r="C27" s="360">
        <v>-292700</v>
      </c>
      <c r="G27" s="19"/>
    </row>
    <row r="28" spans="1:7" s="31" customFormat="1" ht="15.75">
      <c r="A28" s="77" t="s">
        <v>588</v>
      </c>
      <c r="B28" s="80"/>
      <c r="C28" s="594">
        <v>-556269</v>
      </c>
      <c r="G28" s="19"/>
    </row>
    <row r="29" spans="1:7" s="31" customFormat="1" ht="31.5">
      <c r="A29" s="77" t="s">
        <v>820</v>
      </c>
      <c r="B29" s="80"/>
      <c r="C29" s="360">
        <v>-2200000</v>
      </c>
      <c r="G29" s="19"/>
    </row>
    <row r="30" spans="1:7" s="31" customFormat="1" ht="15">
      <c r="A30" s="377" t="s">
        <v>24</v>
      </c>
      <c r="B30" s="30"/>
      <c r="C30" s="297">
        <f>SUM(C21:C29)</f>
        <v>-7201950</v>
      </c>
      <c r="G30" s="19"/>
    </row>
    <row r="31" spans="1:7" s="31" customFormat="1" ht="15">
      <c r="A31" s="29"/>
      <c r="B31" s="81"/>
      <c r="C31" s="91"/>
      <c r="G31" s="19"/>
    </row>
    <row r="32" spans="1:7" s="31" customFormat="1" ht="15">
      <c r="A32" s="29"/>
      <c r="B32" s="81"/>
      <c r="C32" s="82"/>
      <c r="G32" s="19"/>
    </row>
    <row r="33" spans="1:7" s="31" customFormat="1" ht="18" customHeight="1">
      <c r="A33" s="622" t="s">
        <v>361</v>
      </c>
      <c r="B33" s="622"/>
      <c r="C33" s="622"/>
      <c r="D33" s="622"/>
      <c r="E33" s="622"/>
      <c r="F33" s="622"/>
      <c r="G33" s="622"/>
    </row>
    <row r="34" spans="1:7" s="31" customFormat="1" ht="15.75">
      <c r="A34" s="76"/>
      <c r="B34" s="76"/>
      <c r="C34" s="76"/>
      <c r="D34" s="89" t="s">
        <v>353</v>
      </c>
      <c r="E34" s="76"/>
      <c r="F34" s="76"/>
      <c r="G34" s="76"/>
    </row>
    <row r="35" spans="1:11" s="31" customFormat="1" ht="45">
      <c r="A35" s="294" t="s">
        <v>702</v>
      </c>
      <c r="B35" s="90"/>
      <c r="C35" s="90"/>
      <c r="D35" s="73">
        <v>10224</v>
      </c>
      <c r="E35" s="76"/>
      <c r="F35" s="76"/>
      <c r="G35" s="76"/>
      <c r="K35" s="523"/>
    </row>
    <row r="36" spans="1:7" s="31" customFormat="1" ht="15.75">
      <c r="A36" s="368"/>
      <c r="B36" s="90"/>
      <c r="C36" s="90"/>
      <c r="D36" s="73"/>
      <c r="E36" s="76"/>
      <c r="F36" s="76"/>
      <c r="G36" s="76"/>
    </row>
    <row r="37" spans="1:4" s="92" customFormat="1" ht="18.75" customHeight="1">
      <c r="A37" s="248"/>
      <c r="C37" s="92" t="s">
        <v>330</v>
      </c>
      <c r="D37" s="515">
        <f>SUM(D35:D36)</f>
        <v>10224</v>
      </c>
    </row>
    <row r="38" spans="1:4" s="92" customFormat="1" ht="15">
      <c r="A38" s="72"/>
      <c r="D38" s="93"/>
    </row>
    <row r="39" spans="1:7" s="92" customFormat="1" ht="45" customHeight="1">
      <c r="A39" s="622" t="s">
        <v>358</v>
      </c>
      <c r="B39" s="622"/>
      <c r="C39" s="622"/>
      <c r="D39" s="622"/>
      <c r="E39" s="622"/>
      <c r="F39" s="622"/>
      <c r="G39" s="622"/>
    </row>
    <row r="40" spans="1:4" s="92" customFormat="1" ht="15.75">
      <c r="A40" s="72"/>
      <c r="D40" s="89" t="s">
        <v>353</v>
      </c>
    </row>
    <row r="41" spans="1:11" s="92" customFormat="1" ht="30">
      <c r="A41" s="372" t="s">
        <v>701</v>
      </c>
      <c r="D41" s="359">
        <v>153280</v>
      </c>
      <c r="K41" s="529"/>
    </row>
    <row r="42" spans="1:11" s="92" customFormat="1" ht="45">
      <c r="A42" s="372" t="s">
        <v>790</v>
      </c>
      <c r="D42" s="359">
        <v>40403</v>
      </c>
      <c r="K42" s="584"/>
    </row>
    <row r="43" spans="1:11" s="92" customFormat="1" ht="15.75">
      <c r="A43" s="372" t="s">
        <v>696</v>
      </c>
      <c r="D43" s="359">
        <v>9800</v>
      </c>
      <c r="K43" s="509"/>
    </row>
    <row r="44" spans="1:11" s="92" customFormat="1" ht="49.5" customHeight="1">
      <c r="A44" s="372" t="s">
        <v>796</v>
      </c>
      <c r="D44" s="359">
        <v>-4000000</v>
      </c>
      <c r="K44" s="584"/>
    </row>
    <row r="45" spans="1:11" s="92" customFormat="1" ht="60">
      <c r="A45" s="372" t="s">
        <v>685</v>
      </c>
      <c r="D45" s="359">
        <v>3160</v>
      </c>
      <c r="K45" s="509"/>
    </row>
    <row r="46" spans="1:11" s="92" customFormat="1" ht="60">
      <c r="A46" s="372" t="s">
        <v>686</v>
      </c>
      <c r="D46" s="359">
        <v>2574</v>
      </c>
      <c r="K46" s="509"/>
    </row>
    <row r="47" spans="1:11" s="92" customFormat="1" ht="60">
      <c r="A47" s="542" t="s">
        <v>723</v>
      </c>
      <c r="D47" s="359">
        <f>3500+1500</f>
        <v>5000</v>
      </c>
      <c r="K47" s="509"/>
    </row>
    <row r="48" spans="1:11" s="92" customFormat="1" ht="60">
      <c r="A48" s="542" t="s">
        <v>724</v>
      </c>
      <c r="D48" s="359">
        <f>2500+1867</f>
        <v>4367</v>
      </c>
      <c r="K48" s="509"/>
    </row>
    <row r="49" spans="1:11" s="92" customFormat="1" ht="45">
      <c r="A49" s="588" t="s">
        <v>764</v>
      </c>
      <c r="D49" s="359">
        <v>1287</v>
      </c>
      <c r="K49" s="509"/>
    </row>
    <row r="50" spans="1:4" s="92" customFormat="1" ht="44.25" customHeight="1">
      <c r="A50" s="373" t="s">
        <v>543</v>
      </c>
      <c r="D50" s="359">
        <v>1500</v>
      </c>
    </row>
    <row r="51" spans="1:11" s="92" customFormat="1" ht="30">
      <c r="A51" s="72" t="s">
        <v>491</v>
      </c>
      <c r="D51" s="376">
        <v>8000</v>
      </c>
      <c r="K51" s="509"/>
    </row>
    <row r="52" spans="1:4" s="100" customFormat="1" ht="75">
      <c r="A52" s="372" t="s">
        <v>728</v>
      </c>
      <c r="D52" s="359">
        <v>2526</v>
      </c>
    </row>
    <row r="53" spans="1:4" s="100" customFormat="1" ht="15.75">
      <c r="A53" s="72" t="s">
        <v>658</v>
      </c>
      <c r="D53" s="359">
        <v>8215</v>
      </c>
    </row>
    <row r="54" spans="1:4" s="100" customFormat="1" ht="30">
      <c r="A54" s="589" t="s">
        <v>767</v>
      </c>
      <c r="D54" s="359">
        <v>2316</v>
      </c>
    </row>
    <row r="55" spans="1:4" s="100" customFormat="1" ht="45">
      <c r="A55" s="542" t="s">
        <v>768</v>
      </c>
      <c r="D55" s="359">
        <v>6862</v>
      </c>
    </row>
    <row r="56" spans="1:4" s="100" customFormat="1" ht="30">
      <c r="A56" s="368" t="s">
        <v>524</v>
      </c>
      <c r="D56" s="359">
        <v>20000</v>
      </c>
    </row>
    <row r="57" spans="1:4" s="100" customFormat="1" ht="30">
      <c r="A57" s="587" t="s">
        <v>547</v>
      </c>
      <c r="D57" s="359"/>
    </row>
    <row r="58" spans="1:4" s="92" customFormat="1" ht="15">
      <c r="A58" s="72"/>
      <c r="C58" s="92" t="s">
        <v>330</v>
      </c>
      <c r="D58" s="93">
        <f>SUM(D41:D57)</f>
        <v>-3730710</v>
      </c>
    </row>
    <row r="59" spans="1:4" s="92" customFormat="1" ht="15">
      <c r="A59" s="72"/>
      <c r="D59" s="93"/>
    </row>
    <row r="60" spans="1:4" s="92" customFormat="1" ht="15">
      <c r="A60" s="72"/>
      <c r="D60" s="93"/>
    </row>
    <row r="61" spans="1:7" s="92" customFormat="1" ht="18" customHeight="1">
      <c r="A61" s="622" t="s">
        <v>421</v>
      </c>
      <c r="B61" s="622"/>
      <c r="C61" s="622"/>
      <c r="D61" s="622"/>
      <c r="E61" s="622"/>
      <c r="F61" s="622"/>
      <c r="G61" s="622"/>
    </row>
    <row r="62" spans="1:4" s="92" customFormat="1" ht="15">
      <c r="A62" s="72"/>
      <c r="D62" s="93"/>
    </row>
    <row r="63" spans="1:4" s="92" customFormat="1" ht="45">
      <c r="A63" s="72" t="s">
        <v>829</v>
      </c>
      <c r="D63" s="107">
        <v>4000</v>
      </c>
    </row>
    <row r="64" spans="1:10" s="92" customFormat="1" ht="45">
      <c r="A64" s="20" t="s">
        <v>704</v>
      </c>
      <c r="B64" s="90"/>
      <c r="C64" s="90"/>
      <c r="D64" s="107">
        <v>240</v>
      </c>
      <c r="J64" s="613"/>
    </row>
    <row r="65" spans="1:4" s="92" customFormat="1" ht="15">
      <c r="A65" s="72"/>
      <c r="C65" s="92" t="s">
        <v>330</v>
      </c>
      <c r="D65" s="93">
        <f>SUM(D63:D64)</f>
        <v>4240</v>
      </c>
    </row>
    <row r="66" spans="1:4" s="92" customFormat="1" ht="15">
      <c r="A66" s="72"/>
      <c r="D66" s="93"/>
    </row>
    <row r="67" spans="1:7" s="92" customFormat="1" ht="18.75">
      <c r="A67" s="622" t="s">
        <v>525</v>
      </c>
      <c r="B67" s="622"/>
      <c r="C67" s="622"/>
      <c r="D67" s="622"/>
      <c r="E67" s="622"/>
      <c r="F67" s="622"/>
      <c r="G67" s="622"/>
    </row>
    <row r="68" spans="1:7" s="92" customFormat="1" ht="18.75">
      <c r="A68" s="367"/>
      <c r="B68" s="367"/>
      <c r="C68" s="367"/>
      <c r="D68" s="369" t="s">
        <v>353</v>
      </c>
      <c r="E68" s="367"/>
      <c r="F68" s="367"/>
      <c r="G68" s="367"/>
    </row>
    <row r="69" spans="1:7" s="92" customFormat="1" ht="18.75">
      <c r="A69" s="367"/>
      <c r="B69" s="367"/>
      <c r="C69" s="367"/>
      <c r="D69" s="367"/>
      <c r="E69" s="367"/>
      <c r="F69" s="367"/>
      <c r="G69" s="367"/>
    </row>
    <row r="70" spans="1:10" s="92" customFormat="1" ht="53.25" customHeight="1">
      <c r="A70" s="372" t="s">
        <v>554</v>
      </c>
      <c r="B70" s="367"/>
      <c r="C70" s="367"/>
      <c r="D70" s="619">
        <v>3582</v>
      </c>
      <c r="E70" s="367"/>
      <c r="F70" s="367"/>
      <c r="G70" s="367"/>
      <c r="J70" s="508"/>
    </row>
    <row r="71" spans="1:7" s="92" customFormat="1" ht="18.75">
      <c r="A71" s="367"/>
      <c r="B71" s="367"/>
      <c r="C71" s="367"/>
      <c r="D71" s="370">
        <f>SUM(D69:D70)</f>
        <v>3582</v>
      </c>
      <c r="E71" s="367"/>
      <c r="F71" s="367"/>
      <c r="G71" s="367"/>
    </row>
    <row r="72" spans="1:7" s="92" customFormat="1" ht="18.75">
      <c r="A72" s="367"/>
      <c r="B72" s="367"/>
      <c r="C72" s="367"/>
      <c r="D72" s="370"/>
      <c r="E72" s="367"/>
      <c r="F72" s="367"/>
      <c r="G72" s="367"/>
    </row>
    <row r="73" spans="1:5" ht="18" customHeight="1">
      <c r="A73" s="90" t="s">
        <v>372</v>
      </c>
      <c r="B73" s="90"/>
      <c r="C73" s="90"/>
      <c r="D73" s="90"/>
      <c r="E73" s="90" t="s">
        <v>37</v>
      </c>
    </row>
    <row r="74" spans="1:5" ht="15">
      <c r="A74" s="90"/>
      <c r="B74" s="90"/>
      <c r="C74" s="90"/>
      <c r="D74" s="90"/>
      <c r="E74" s="90"/>
    </row>
    <row r="78" ht="18" customHeight="1"/>
  </sheetData>
  <sheetProtection/>
  <mergeCells count="5">
    <mergeCell ref="A67:G67"/>
    <mergeCell ref="A61:G61"/>
    <mergeCell ref="A39:G39"/>
    <mergeCell ref="A2:F2"/>
    <mergeCell ref="A33:G33"/>
  </mergeCells>
  <printOptions/>
  <pageMargins left="0.7480314960629921" right="0.15748031496062992" top="0.4330708661417323" bottom="0.2755905511811024" header="0.5511811023622047" footer="0.275590551181102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R417"/>
  <sheetViews>
    <sheetView zoomScalePageLayoutView="0" workbookViewId="0" topLeftCell="A1">
      <selection activeCell="J405" sqref="J405"/>
    </sheetView>
  </sheetViews>
  <sheetFormatPr defaultColWidth="9.140625" defaultRowHeight="12.75"/>
  <cols>
    <col min="1" max="1" width="27.421875" style="90" customWidth="1"/>
    <col min="2" max="2" width="12.00390625" style="405" customWidth="1"/>
    <col min="3" max="3" width="33.7109375" style="90" customWidth="1"/>
    <col min="4" max="4" width="13.28125" style="91" customWidth="1"/>
    <col min="5" max="5" width="50.421875" style="90" customWidth="1"/>
    <col min="6" max="6" width="8.57421875" style="90" customWidth="1"/>
    <col min="7" max="7" width="9.00390625" style="90" customWidth="1"/>
    <col min="8" max="8" width="9.28125" style="90" customWidth="1"/>
    <col min="9" max="16" width="9.140625" style="90" customWidth="1"/>
    <col min="17" max="16384" width="9.140625" style="90" customWidth="1"/>
  </cols>
  <sheetData>
    <row r="1" ht="15">
      <c r="E1" s="90" t="s">
        <v>38</v>
      </c>
    </row>
    <row r="2" spans="1:5" ht="18.75">
      <c r="A2" s="624" t="s">
        <v>625</v>
      </c>
      <c r="B2" s="624"/>
      <c r="C2" s="624"/>
      <c r="D2" s="624"/>
      <c r="E2" s="624"/>
    </row>
    <row r="3" spans="1:7" ht="31.5">
      <c r="A3" s="406" t="s">
        <v>2</v>
      </c>
      <c r="B3" s="407" t="s">
        <v>6</v>
      </c>
      <c r="C3" s="406" t="s">
        <v>3</v>
      </c>
      <c r="D3" s="408" t="s">
        <v>4</v>
      </c>
      <c r="E3" s="406" t="s">
        <v>5</v>
      </c>
      <c r="G3" s="294"/>
    </row>
    <row r="4" spans="1:5" ht="15.75">
      <c r="A4" s="406"/>
      <c r="B4" s="409"/>
      <c r="C4" s="406"/>
      <c r="D4" s="408" t="s">
        <v>353</v>
      </c>
      <c r="E4" s="78"/>
    </row>
    <row r="5" spans="1:5" ht="15">
      <c r="A5" s="411" t="s">
        <v>144</v>
      </c>
      <c r="B5" s="412" t="s">
        <v>70</v>
      </c>
      <c r="C5" s="413"/>
      <c r="D5" s="414">
        <f>SUM(D6,D11,D14,D16)</f>
        <v>-26532</v>
      </c>
      <c r="E5" s="415"/>
    </row>
    <row r="6" spans="1:5" ht="45">
      <c r="A6" s="400" t="s">
        <v>776</v>
      </c>
      <c r="B6" s="494" t="s">
        <v>775</v>
      </c>
      <c r="C6" s="112"/>
      <c r="D6" s="380">
        <f>SUM(D7:D10)</f>
        <v>-111</v>
      </c>
      <c r="E6" s="398" t="s">
        <v>786</v>
      </c>
    </row>
    <row r="7" spans="1:5" ht="15">
      <c r="A7" s="400"/>
      <c r="B7" s="245" t="s">
        <v>18</v>
      </c>
      <c r="C7" s="415" t="s">
        <v>222</v>
      </c>
      <c r="D7" s="547">
        <v>-7</v>
      </c>
      <c r="E7" s="398"/>
    </row>
    <row r="8" spans="1:5" ht="15">
      <c r="A8" s="573"/>
      <c r="B8" s="417" t="s">
        <v>19</v>
      </c>
      <c r="C8" s="415" t="s">
        <v>7</v>
      </c>
      <c r="D8" s="547">
        <v>-154</v>
      </c>
      <c r="E8" s="398"/>
    </row>
    <row r="9" spans="1:5" ht="15">
      <c r="A9" s="416"/>
      <c r="B9" s="245" t="s">
        <v>213</v>
      </c>
      <c r="C9" s="398" t="s">
        <v>203</v>
      </c>
      <c r="D9" s="404">
        <v>388</v>
      </c>
      <c r="E9" s="398"/>
    </row>
    <row r="10" spans="1:5" ht="15">
      <c r="A10" s="416"/>
      <c r="B10" s="245" t="s">
        <v>215</v>
      </c>
      <c r="C10" s="130" t="s">
        <v>345</v>
      </c>
      <c r="D10" s="404">
        <v>-338</v>
      </c>
      <c r="E10" s="398"/>
    </row>
    <row r="11" spans="1:5" ht="45">
      <c r="A11" s="400" t="s">
        <v>250</v>
      </c>
      <c r="B11" s="246" t="s">
        <v>710</v>
      </c>
      <c r="C11" s="112"/>
      <c r="D11" s="380">
        <f>D12+D13</f>
        <v>1914</v>
      </c>
      <c r="E11" s="398"/>
    </row>
    <row r="12" spans="1:5" ht="45">
      <c r="A12" s="416"/>
      <c r="B12" s="245" t="s">
        <v>711</v>
      </c>
      <c r="C12" s="112" t="s">
        <v>712</v>
      </c>
      <c r="D12" s="404">
        <f>3+111</f>
        <v>114</v>
      </c>
      <c r="E12" s="398" t="s">
        <v>825</v>
      </c>
    </row>
    <row r="13" spans="1:5" ht="45">
      <c r="A13" s="416"/>
      <c r="B13" s="245" t="s">
        <v>787</v>
      </c>
      <c r="C13" s="112" t="s">
        <v>677</v>
      </c>
      <c r="D13" s="404">
        <v>1800</v>
      </c>
      <c r="E13" s="398" t="s">
        <v>788</v>
      </c>
    </row>
    <row r="14" spans="1:5" ht="30">
      <c r="A14" s="555" t="s">
        <v>752</v>
      </c>
      <c r="B14" s="382" t="s">
        <v>640</v>
      </c>
      <c r="C14" s="112"/>
      <c r="D14" s="380">
        <f>D15</f>
        <v>3642</v>
      </c>
      <c r="E14" s="398"/>
    </row>
    <row r="15" spans="1:5" ht="45">
      <c r="A15" s="416"/>
      <c r="B15" s="556" t="s">
        <v>711</v>
      </c>
      <c r="C15" s="552" t="s">
        <v>784</v>
      </c>
      <c r="D15" s="557">
        <v>3642</v>
      </c>
      <c r="E15" s="112" t="s">
        <v>753</v>
      </c>
    </row>
    <row r="16" spans="1:8" s="94" customFormat="1" ht="30">
      <c r="A16" s="418" t="s">
        <v>251</v>
      </c>
      <c r="B16" s="246" t="s">
        <v>374</v>
      </c>
      <c r="C16" s="112"/>
      <c r="D16" s="582">
        <v>-31977</v>
      </c>
      <c r="E16" s="596"/>
      <c r="G16" s="296"/>
      <c r="H16" s="20"/>
    </row>
    <row r="17" spans="1:5" ht="29.25">
      <c r="A17" s="413" t="s">
        <v>81</v>
      </c>
      <c r="B17" s="412" t="s">
        <v>80</v>
      </c>
      <c r="C17" s="413"/>
      <c r="D17" s="419">
        <f>D18+D24</f>
        <v>4740</v>
      </c>
      <c r="E17" s="398"/>
    </row>
    <row r="18" spans="1:5" ht="15">
      <c r="A18" s="550" t="s">
        <v>34</v>
      </c>
      <c r="B18" s="549" t="s">
        <v>740</v>
      </c>
      <c r="C18" s="413"/>
      <c r="D18" s="54">
        <f>SUM(D19:D23)</f>
        <v>0</v>
      </c>
      <c r="E18" s="398" t="s">
        <v>21</v>
      </c>
    </row>
    <row r="19" spans="1:5" ht="15">
      <c r="A19" s="413"/>
      <c r="B19" s="417" t="s">
        <v>212</v>
      </c>
      <c r="C19" s="410" t="s">
        <v>202</v>
      </c>
      <c r="D19" s="460">
        <v>-500</v>
      </c>
      <c r="E19" s="398"/>
    </row>
    <row r="20" spans="1:5" ht="15">
      <c r="A20" s="413"/>
      <c r="B20" s="245" t="s">
        <v>213</v>
      </c>
      <c r="C20" s="130" t="s">
        <v>203</v>
      </c>
      <c r="D20" s="460">
        <v>-1897</v>
      </c>
      <c r="E20" s="398"/>
    </row>
    <row r="21" spans="1:5" ht="15">
      <c r="A21" s="413"/>
      <c r="B21" s="245" t="s">
        <v>215</v>
      </c>
      <c r="C21" s="415" t="s">
        <v>345</v>
      </c>
      <c r="D21" s="460">
        <v>2030</v>
      </c>
      <c r="E21" s="398"/>
    </row>
    <row r="22" spans="1:5" ht="15">
      <c r="A22" s="413"/>
      <c r="B22" s="245" t="s">
        <v>540</v>
      </c>
      <c r="C22" s="415" t="s">
        <v>206</v>
      </c>
      <c r="D22" s="460">
        <v>167</v>
      </c>
      <c r="E22" s="398"/>
    </row>
    <row r="23" spans="1:5" ht="15">
      <c r="A23" s="413"/>
      <c r="B23" s="551" t="s">
        <v>526</v>
      </c>
      <c r="C23" s="552" t="s">
        <v>156</v>
      </c>
      <c r="D23" s="460">
        <v>200</v>
      </c>
      <c r="E23" s="398"/>
    </row>
    <row r="24" spans="1:5" ht="15">
      <c r="A24" s="550" t="s">
        <v>581</v>
      </c>
      <c r="B24" s="549" t="s">
        <v>580</v>
      </c>
      <c r="C24" s="415"/>
      <c r="D24" s="381">
        <f>SUM(D25:D25)</f>
        <v>4740</v>
      </c>
      <c r="E24" s="398" t="s">
        <v>835</v>
      </c>
    </row>
    <row r="25" spans="1:5" ht="15">
      <c r="A25" s="413"/>
      <c r="B25" s="245" t="s">
        <v>213</v>
      </c>
      <c r="C25" s="112" t="s">
        <v>203</v>
      </c>
      <c r="D25" s="595">
        <f>240+4500</f>
        <v>4740</v>
      </c>
      <c r="E25" s="398"/>
    </row>
    <row r="26" spans="1:5" ht="15">
      <c r="A26" s="142" t="s">
        <v>83</v>
      </c>
      <c r="B26" s="421" t="s">
        <v>9</v>
      </c>
      <c r="C26" s="142"/>
      <c r="D26" s="422">
        <f>SUM(D27,D30,D33,D35,D41,D43,D45,D47,D50,D51,D52,D54,D56,D58,D61)</f>
        <v>-8810411</v>
      </c>
      <c r="E26" s="112"/>
    </row>
    <row r="27" spans="1:5" ht="30">
      <c r="A27" s="492" t="s">
        <v>255</v>
      </c>
      <c r="B27" s="402" t="s">
        <v>254</v>
      </c>
      <c r="C27" s="142"/>
      <c r="D27" s="381">
        <f>SUM(D28:D29)</f>
        <v>-1939</v>
      </c>
      <c r="E27" s="112" t="s">
        <v>836</v>
      </c>
    </row>
    <row r="28" spans="1:5" ht="15">
      <c r="A28" s="142"/>
      <c r="B28" s="417" t="s">
        <v>18</v>
      </c>
      <c r="C28" s="415" t="s">
        <v>222</v>
      </c>
      <c r="D28" s="38">
        <v>-834</v>
      </c>
      <c r="E28" s="112"/>
    </row>
    <row r="29" spans="1:5" ht="15">
      <c r="A29" s="142"/>
      <c r="B29" s="417" t="s">
        <v>19</v>
      </c>
      <c r="C29" s="415" t="s">
        <v>7</v>
      </c>
      <c r="D29" s="38">
        <v>-1105</v>
      </c>
      <c r="E29" s="112"/>
    </row>
    <row r="30" spans="1:5" ht="60">
      <c r="A30" s="465" t="s">
        <v>582</v>
      </c>
      <c r="B30" s="402" t="s">
        <v>467</v>
      </c>
      <c r="C30" s="130"/>
      <c r="D30" s="381">
        <f>SUM(D31:D32)</f>
        <v>-8638</v>
      </c>
      <c r="E30" s="398"/>
    </row>
    <row r="31" spans="1:12" ht="75">
      <c r="A31" s="424"/>
      <c r="B31" s="417" t="s">
        <v>213</v>
      </c>
      <c r="C31" s="398" t="s">
        <v>203</v>
      </c>
      <c r="D31" s="38">
        <f>-576-116-9922-19+1400</f>
        <v>-9233</v>
      </c>
      <c r="E31" s="596" t="s">
        <v>833</v>
      </c>
      <c r="F31" s="94"/>
      <c r="G31" s="94"/>
      <c r="H31" s="94"/>
      <c r="I31" s="94"/>
      <c r="J31" s="94"/>
      <c r="K31" s="94"/>
      <c r="L31" s="94"/>
    </row>
    <row r="32" spans="1:5" ht="15">
      <c r="A32" s="424"/>
      <c r="B32" s="245" t="s">
        <v>215</v>
      </c>
      <c r="C32" s="415" t="s">
        <v>345</v>
      </c>
      <c r="D32" s="38">
        <f>576+19</f>
        <v>595</v>
      </c>
      <c r="E32" s="112"/>
    </row>
    <row r="33" spans="1:5" ht="60">
      <c r="A33" s="574" t="s">
        <v>539</v>
      </c>
      <c r="B33" s="402" t="s">
        <v>384</v>
      </c>
      <c r="C33" s="415"/>
      <c r="D33" s="381">
        <f>SUM(D34)</f>
        <v>-2857374</v>
      </c>
      <c r="E33" s="112" t="s">
        <v>781</v>
      </c>
    </row>
    <row r="34" spans="1:5" ht="15">
      <c r="A34" s="424"/>
      <c r="B34" s="417" t="s">
        <v>214</v>
      </c>
      <c r="C34" s="398" t="s">
        <v>240</v>
      </c>
      <c r="D34" s="38">
        <v>-2857374</v>
      </c>
      <c r="E34" s="112"/>
    </row>
    <row r="35" spans="1:5" s="441" customFormat="1" ht="15">
      <c r="A35" s="516" t="s">
        <v>584</v>
      </c>
      <c r="B35" s="444" t="s">
        <v>583</v>
      </c>
      <c r="C35" s="440"/>
      <c r="D35" s="381">
        <f>SUM(D36:D40)</f>
        <v>0</v>
      </c>
      <c r="E35" s="440" t="s">
        <v>21</v>
      </c>
    </row>
    <row r="36" spans="1:5" ht="15">
      <c r="A36" s="423"/>
      <c r="B36" s="417" t="s">
        <v>18</v>
      </c>
      <c r="C36" s="415" t="s">
        <v>222</v>
      </c>
      <c r="D36" s="38">
        <v>-110</v>
      </c>
      <c r="E36" s="112"/>
    </row>
    <row r="37" spans="1:5" ht="15">
      <c r="A37" s="424"/>
      <c r="B37" s="245" t="s">
        <v>213</v>
      </c>
      <c r="C37" s="112" t="s">
        <v>203</v>
      </c>
      <c r="D37" s="38">
        <f>-8300-9058+110</f>
        <v>-17248</v>
      </c>
      <c r="E37" s="112"/>
    </row>
    <row r="38" spans="1:5" ht="15">
      <c r="A38" s="424"/>
      <c r="B38" s="245" t="s">
        <v>215</v>
      </c>
      <c r="C38" s="415" t="s">
        <v>345</v>
      </c>
      <c r="D38" s="38">
        <v>9058</v>
      </c>
      <c r="E38" s="112"/>
    </row>
    <row r="39" spans="1:5" ht="32.25" customHeight="1">
      <c r="A39" s="424"/>
      <c r="B39" s="386" t="s">
        <v>346</v>
      </c>
      <c r="C39" s="425" t="s">
        <v>348</v>
      </c>
      <c r="D39" s="38">
        <v>8300</v>
      </c>
      <c r="E39" s="112" t="s">
        <v>773</v>
      </c>
    </row>
    <row r="40" spans="1:5" ht="15">
      <c r="A40" s="424"/>
      <c r="B40" s="386" t="s">
        <v>214</v>
      </c>
      <c r="C40" s="398" t="s">
        <v>208</v>
      </c>
      <c r="D40" s="38"/>
      <c r="E40" s="112"/>
    </row>
    <row r="41" spans="1:5" ht="45">
      <c r="A41" s="418" t="s">
        <v>754</v>
      </c>
      <c r="B41" s="246" t="s">
        <v>660</v>
      </c>
      <c r="C41" s="142"/>
      <c r="D41" s="390">
        <f>D42</f>
        <v>116</v>
      </c>
      <c r="E41" s="560" t="s">
        <v>795</v>
      </c>
    </row>
    <row r="42" spans="1:5" ht="15">
      <c r="A42" s="559"/>
      <c r="B42" s="417" t="s">
        <v>214</v>
      </c>
      <c r="C42" s="398" t="s">
        <v>240</v>
      </c>
      <c r="D42" s="38">
        <v>116</v>
      </c>
      <c r="E42" s="402"/>
    </row>
    <row r="43" spans="1:5" ht="30">
      <c r="A43" s="426" t="s">
        <v>696</v>
      </c>
      <c r="B43" s="402" t="s">
        <v>695</v>
      </c>
      <c r="C43" s="398"/>
      <c r="D43" s="381">
        <f>SUM(D44:D44)</f>
        <v>9800</v>
      </c>
      <c r="E43" s="112" t="s">
        <v>777</v>
      </c>
    </row>
    <row r="44" spans="1:5" ht="15">
      <c r="A44" s="424"/>
      <c r="B44" s="417" t="s">
        <v>214</v>
      </c>
      <c r="C44" s="398" t="s">
        <v>240</v>
      </c>
      <c r="D44" s="38">
        <v>9800</v>
      </c>
      <c r="E44" s="112"/>
    </row>
    <row r="45" spans="1:5" ht="105">
      <c r="A45" s="575" t="s">
        <v>469</v>
      </c>
      <c r="B45" s="402" t="s">
        <v>386</v>
      </c>
      <c r="C45" s="398"/>
      <c r="D45" s="381">
        <f>SUM(D46)</f>
        <v>-822779</v>
      </c>
      <c r="E45" s="112" t="s">
        <v>781</v>
      </c>
    </row>
    <row r="46" spans="1:5" ht="15">
      <c r="A46" s="424"/>
      <c r="B46" s="417" t="s">
        <v>214</v>
      </c>
      <c r="C46" s="398" t="s">
        <v>240</v>
      </c>
      <c r="D46" s="38">
        <v>-822779</v>
      </c>
      <c r="E46" s="112"/>
    </row>
    <row r="47" spans="1:5" ht="15">
      <c r="A47" s="418" t="s">
        <v>359</v>
      </c>
      <c r="B47" s="246" t="s">
        <v>530</v>
      </c>
      <c r="C47" s="130"/>
      <c r="D47" s="381">
        <f>SUM(D48:D49)</f>
        <v>0</v>
      </c>
      <c r="E47" s="112" t="s">
        <v>21</v>
      </c>
    </row>
    <row r="48" spans="1:5" ht="15">
      <c r="A48" s="418"/>
      <c r="B48" s="245" t="s">
        <v>213</v>
      </c>
      <c r="C48" s="112" t="s">
        <v>203</v>
      </c>
      <c r="D48" s="38">
        <v>-60000</v>
      </c>
      <c r="E48" s="611"/>
    </row>
    <row r="49" spans="1:5" ht="15">
      <c r="A49" s="418"/>
      <c r="B49" s="245" t="s">
        <v>214</v>
      </c>
      <c r="C49" s="112" t="s">
        <v>240</v>
      </c>
      <c r="D49" s="38">
        <v>60000</v>
      </c>
      <c r="E49" s="612"/>
    </row>
    <row r="50" spans="1:5" ht="15">
      <c r="A50" s="426" t="s">
        <v>359</v>
      </c>
      <c r="B50" s="402" t="s">
        <v>257</v>
      </c>
      <c r="C50" s="415" t="s">
        <v>665</v>
      </c>
      <c r="D50" s="600">
        <v>5527</v>
      </c>
      <c r="E50" s="596" t="s">
        <v>798</v>
      </c>
    </row>
    <row r="51" spans="1:5" ht="15">
      <c r="A51" s="426" t="s">
        <v>259</v>
      </c>
      <c r="B51" s="402" t="s">
        <v>258</v>
      </c>
      <c r="C51" s="415" t="s">
        <v>663</v>
      </c>
      <c r="D51" s="384">
        <v>7150</v>
      </c>
      <c r="E51" s="398" t="s">
        <v>667</v>
      </c>
    </row>
    <row r="52" spans="1:5" ht="60">
      <c r="A52" s="400" t="s">
        <v>388</v>
      </c>
      <c r="B52" s="402" t="s">
        <v>387</v>
      </c>
      <c r="C52" s="415"/>
      <c r="D52" s="381">
        <f>SUM(D53:D53)</f>
        <v>-440078</v>
      </c>
      <c r="E52" s="398" t="s">
        <v>778</v>
      </c>
    </row>
    <row r="53" spans="1:5" ht="15">
      <c r="A53" s="426"/>
      <c r="B53" s="386" t="s">
        <v>214</v>
      </c>
      <c r="C53" s="425" t="s">
        <v>240</v>
      </c>
      <c r="D53" s="38">
        <f>9922-450000</f>
        <v>-440078</v>
      </c>
      <c r="E53" s="398"/>
    </row>
    <row r="54" spans="1:5" ht="60">
      <c r="A54" s="426" t="s">
        <v>796</v>
      </c>
      <c r="B54" s="402" t="s">
        <v>556</v>
      </c>
      <c r="C54" s="415"/>
      <c r="D54" s="381">
        <f>SUM(D55:D55)</f>
        <v>-4000000</v>
      </c>
      <c r="E54" s="112" t="s">
        <v>837</v>
      </c>
    </row>
    <row r="55" spans="1:5" ht="15">
      <c r="A55" s="426"/>
      <c r="B55" s="386" t="s">
        <v>214</v>
      </c>
      <c r="C55" s="425" t="s">
        <v>240</v>
      </c>
      <c r="D55" s="38">
        <v>-4000000</v>
      </c>
      <c r="E55" s="398"/>
    </row>
    <row r="56" spans="1:5" ht="15">
      <c r="A56" s="426" t="s">
        <v>588</v>
      </c>
      <c r="B56" s="382" t="s">
        <v>821</v>
      </c>
      <c r="C56" s="425"/>
      <c r="D56" s="381">
        <f>SUM(D57:D57)</f>
        <v>-702196</v>
      </c>
      <c r="E56" s="398" t="s">
        <v>822</v>
      </c>
    </row>
    <row r="57" spans="1:5" ht="15">
      <c r="A57" s="426"/>
      <c r="B57" s="386" t="s">
        <v>214</v>
      </c>
      <c r="C57" s="425" t="s">
        <v>240</v>
      </c>
      <c r="D57" s="38">
        <v>-702196</v>
      </c>
      <c r="E57" s="398"/>
    </row>
    <row r="58" spans="1:5" ht="30">
      <c r="A58" s="563" t="s">
        <v>592</v>
      </c>
      <c r="B58" s="382" t="s">
        <v>755</v>
      </c>
      <c r="C58" s="561"/>
      <c r="D58" s="558">
        <f>SUM(D59:D60)</f>
        <v>0</v>
      </c>
      <c r="E58" s="562" t="s">
        <v>756</v>
      </c>
    </row>
    <row r="59" spans="1:5" ht="15">
      <c r="A59" s="563"/>
      <c r="B59" s="383" t="s">
        <v>213</v>
      </c>
      <c r="C59" s="552" t="s">
        <v>757</v>
      </c>
      <c r="D59" s="557">
        <v>-36300</v>
      </c>
      <c r="E59" s="389"/>
    </row>
    <row r="60" spans="1:5" ht="15">
      <c r="A60" s="385"/>
      <c r="B60" s="386" t="s">
        <v>214</v>
      </c>
      <c r="C60" s="425" t="s">
        <v>240</v>
      </c>
      <c r="D60" s="557">
        <v>36300</v>
      </c>
      <c r="E60" s="425"/>
    </row>
    <row r="61" spans="1:5" ht="15">
      <c r="A61" s="385" t="s">
        <v>638</v>
      </c>
      <c r="B61" s="494" t="s">
        <v>652</v>
      </c>
      <c r="C61" s="425"/>
      <c r="D61" s="496">
        <f>SUM(D62:D65)</f>
        <v>0</v>
      </c>
      <c r="E61" s="112" t="s">
        <v>21</v>
      </c>
    </row>
    <row r="62" spans="1:5" ht="15">
      <c r="A62" s="385"/>
      <c r="B62" s="417" t="s">
        <v>19</v>
      </c>
      <c r="C62" s="415" t="s">
        <v>7</v>
      </c>
      <c r="D62" s="497">
        <f>75+113</f>
        <v>188</v>
      </c>
      <c r="E62" s="112"/>
    </row>
    <row r="63" spans="1:5" ht="15">
      <c r="A63" s="385"/>
      <c r="B63" s="417" t="s">
        <v>212</v>
      </c>
      <c r="C63" s="410" t="s">
        <v>202</v>
      </c>
      <c r="D63" s="497">
        <v>150</v>
      </c>
      <c r="E63" s="112"/>
    </row>
    <row r="64" spans="1:5" ht="15">
      <c r="A64" s="385"/>
      <c r="B64" s="245" t="s">
        <v>213</v>
      </c>
      <c r="C64" s="112" t="s">
        <v>203</v>
      </c>
      <c r="D64" s="497">
        <v>-113</v>
      </c>
      <c r="E64" s="112"/>
    </row>
    <row r="65" spans="1:5" ht="15">
      <c r="A65" s="385"/>
      <c r="B65" s="245" t="s">
        <v>215</v>
      </c>
      <c r="C65" s="415" t="s">
        <v>345</v>
      </c>
      <c r="D65" s="497">
        <v>-225</v>
      </c>
      <c r="E65" s="112"/>
    </row>
    <row r="66" spans="1:5" ht="15">
      <c r="A66" s="428" t="s">
        <v>94</v>
      </c>
      <c r="B66" s="429" t="s">
        <v>32</v>
      </c>
      <c r="C66" s="428"/>
      <c r="D66" s="419">
        <f>SUM(D67:D73,D74)</f>
        <v>839633</v>
      </c>
      <c r="E66" s="430"/>
    </row>
    <row r="67" spans="1:5" ht="30">
      <c r="A67" s="426" t="s">
        <v>371</v>
      </c>
      <c r="B67" s="431" t="s">
        <v>699</v>
      </c>
      <c r="C67" s="112"/>
      <c r="D67" s="38"/>
      <c r="E67" s="432"/>
    </row>
    <row r="68" spans="1:5" ht="30">
      <c r="A68" s="426"/>
      <c r="B68" s="245" t="s">
        <v>213</v>
      </c>
      <c r="C68" s="112" t="s">
        <v>203</v>
      </c>
      <c r="D68" s="38">
        <v>-16417</v>
      </c>
      <c r="E68" s="432" t="s">
        <v>797</v>
      </c>
    </row>
    <row r="69" spans="1:5" ht="30">
      <c r="A69" s="426" t="s">
        <v>347</v>
      </c>
      <c r="B69" s="431"/>
      <c r="C69" s="415"/>
      <c r="D69" s="387"/>
      <c r="E69" s="432"/>
    </row>
    <row r="70" spans="1:5" ht="15">
      <c r="A70" s="426"/>
      <c r="B70" s="431" t="s">
        <v>262</v>
      </c>
      <c r="C70" s="415" t="s">
        <v>663</v>
      </c>
      <c r="D70" s="388">
        <v>12715</v>
      </c>
      <c r="E70" s="398" t="s">
        <v>667</v>
      </c>
    </row>
    <row r="71" spans="1:5" ht="15">
      <c r="A71" s="426"/>
      <c r="B71" s="431" t="s">
        <v>263</v>
      </c>
      <c r="C71" s="130" t="s">
        <v>666</v>
      </c>
      <c r="D71" s="388">
        <v>10890</v>
      </c>
      <c r="E71" s="585" t="s">
        <v>799</v>
      </c>
    </row>
    <row r="72" spans="1:5" ht="15">
      <c r="A72" s="434"/>
      <c r="B72" s="431" t="s">
        <v>263</v>
      </c>
      <c r="C72" s="415" t="s">
        <v>663</v>
      </c>
      <c r="D72" s="387">
        <v>17745</v>
      </c>
      <c r="E72" s="398" t="s">
        <v>667</v>
      </c>
    </row>
    <row r="73" spans="1:5" ht="15">
      <c r="A73" s="434"/>
      <c r="B73" s="431" t="s">
        <v>263</v>
      </c>
      <c r="C73" s="415" t="s">
        <v>545</v>
      </c>
      <c r="D73" s="387">
        <v>7926</v>
      </c>
      <c r="E73" s="398" t="s">
        <v>546</v>
      </c>
    </row>
    <row r="74" spans="1:5" ht="75">
      <c r="A74" s="468" t="s">
        <v>800</v>
      </c>
      <c r="B74" s="431" t="s">
        <v>392</v>
      </c>
      <c r="C74" s="425"/>
      <c r="D74" s="381">
        <f>SUM(D75:D75)</f>
        <v>806774</v>
      </c>
      <c r="E74" s="112"/>
    </row>
    <row r="75" spans="1:5" ht="15">
      <c r="A75" s="426"/>
      <c r="B75" s="386" t="s">
        <v>214</v>
      </c>
      <c r="C75" s="425" t="s">
        <v>240</v>
      </c>
      <c r="D75" s="595">
        <v>806774</v>
      </c>
      <c r="E75" s="112" t="s">
        <v>802</v>
      </c>
    </row>
    <row r="76" spans="1:5" ht="29.25">
      <c r="A76" s="428" t="s">
        <v>146</v>
      </c>
      <c r="B76" s="429" t="s">
        <v>12</v>
      </c>
      <c r="C76" s="428"/>
      <c r="D76" s="419">
        <f>SUM(D77,D81:D83,D94,D84:D93,D96,D103,D105,D109)</f>
        <v>39303</v>
      </c>
      <c r="E76" s="398"/>
    </row>
    <row r="77" spans="1:5" ht="30">
      <c r="A77" s="434" t="s">
        <v>803</v>
      </c>
      <c r="B77" s="431" t="s">
        <v>804</v>
      </c>
      <c r="C77" s="428"/>
      <c r="D77" s="558">
        <f>SUM(D78:D80)</f>
        <v>0</v>
      </c>
      <c r="E77" s="112" t="s">
        <v>805</v>
      </c>
    </row>
    <row r="78" spans="1:5" ht="15">
      <c r="A78" s="428"/>
      <c r="B78" s="417" t="s">
        <v>213</v>
      </c>
      <c r="C78" s="112" t="s">
        <v>203</v>
      </c>
      <c r="D78" s="38">
        <f>8364+8712</f>
        <v>17076</v>
      </c>
      <c r="E78" s="398"/>
    </row>
    <row r="79" spans="1:5" ht="15">
      <c r="A79" s="428"/>
      <c r="B79" s="245" t="s">
        <v>526</v>
      </c>
      <c r="C79" s="112" t="s">
        <v>156</v>
      </c>
      <c r="D79" s="38">
        <v>-8107</v>
      </c>
      <c r="E79" s="398"/>
    </row>
    <row r="80" spans="1:5" ht="15">
      <c r="A80" s="428"/>
      <c r="B80" s="245" t="s">
        <v>214</v>
      </c>
      <c r="C80" s="112" t="s">
        <v>240</v>
      </c>
      <c r="D80" s="38">
        <f>-257-8712</f>
        <v>-8969</v>
      </c>
      <c r="E80" s="398"/>
    </row>
    <row r="81" spans="1:5" ht="15">
      <c r="A81" s="434" t="s">
        <v>101</v>
      </c>
      <c r="B81" s="246" t="s">
        <v>100</v>
      </c>
      <c r="C81" s="415" t="s">
        <v>663</v>
      </c>
      <c r="D81" s="387">
        <v>-99355</v>
      </c>
      <c r="E81" s="398" t="s">
        <v>664</v>
      </c>
    </row>
    <row r="82" spans="1:5" ht="60">
      <c r="A82" s="434"/>
      <c r="B82" s="246"/>
      <c r="C82" s="130" t="s">
        <v>668</v>
      </c>
      <c r="D82" s="387">
        <v>6304</v>
      </c>
      <c r="E82" s="112" t="s">
        <v>708</v>
      </c>
    </row>
    <row r="83" spans="1:5" ht="15">
      <c r="A83" s="434"/>
      <c r="B83" s="246" t="s">
        <v>100</v>
      </c>
      <c r="C83" s="415" t="s">
        <v>545</v>
      </c>
      <c r="D83" s="387">
        <v>-1900</v>
      </c>
      <c r="E83" s="398" t="s">
        <v>546</v>
      </c>
    </row>
    <row r="84" spans="1:5" ht="15">
      <c r="A84" s="434" t="s">
        <v>103</v>
      </c>
      <c r="B84" s="402" t="s">
        <v>102</v>
      </c>
      <c r="C84" s="130" t="s">
        <v>668</v>
      </c>
      <c r="D84" s="520">
        <v>-2209</v>
      </c>
      <c r="E84" s="440" t="s">
        <v>681</v>
      </c>
    </row>
    <row r="85" spans="1:5" ht="15">
      <c r="A85" s="426"/>
      <c r="B85" s="245" t="s">
        <v>213</v>
      </c>
      <c r="C85" s="112" t="s">
        <v>203</v>
      </c>
      <c r="D85" s="38">
        <v>5200</v>
      </c>
      <c r="E85" s="112" t="s">
        <v>21</v>
      </c>
    </row>
    <row r="86" spans="1:5" ht="14.25" customHeight="1">
      <c r="A86" s="426"/>
      <c r="B86" s="245" t="s">
        <v>214</v>
      </c>
      <c r="C86" s="130" t="s">
        <v>208</v>
      </c>
      <c r="D86" s="38">
        <v>-5200</v>
      </c>
      <c r="E86" s="427"/>
    </row>
    <row r="87" spans="1:8" ht="15">
      <c r="A87" s="418" t="s">
        <v>364</v>
      </c>
      <c r="B87" s="402" t="s">
        <v>269</v>
      </c>
      <c r="C87" s="415" t="s">
        <v>666</v>
      </c>
      <c r="D87" s="384">
        <v>-37234</v>
      </c>
      <c r="E87" s="112" t="s">
        <v>735</v>
      </c>
      <c r="G87" s="76"/>
      <c r="H87" s="76"/>
    </row>
    <row r="88" spans="1:5" ht="15">
      <c r="A88" s="418"/>
      <c r="B88" s="402" t="s">
        <v>269</v>
      </c>
      <c r="C88" s="415" t="s">
        <v>663</v>
      </c>
      <c r="D88" s="384">
        <v>112593</v>
      </c>
      <c r="E88" s="112" t="s">
        <v>667</v>
      </c>
    </row>
    <row r="89" spans="1:5" ht="15">
      <c r="A89" s="418"/>
      <c r="B89" s="402" t="s">
        <v>269</v>
      </c>
      <c r="C89" s="415" t="s">
        <v>545</v>
      </c>
      <c r="D89" s="387">
        <v>400</v>
      </c>
      <c r="E89" s="398" t="s">
        <v>546</v>
      </c>
    </row>
    <row r="90" spans="1:5" ht="15">
      <c r="A90" s="400" t="s">
        <v>365</v>
      </c>
      <c r="B90" s="402" t="s">
        <v>270</v>
      </c>
      <c r="C90" s="415" t="s">
        <v>663</v>
      </c>
      <c r="D90" s="387">
        <v>7474</v>
      </c>
      <c r="E90" s="112" t="s">
        <v>667</v>
      </c>
    </row>
    <row r="91" spans="1:5" ht="15">
      <c r="A91" s="400"/>
      <c r="B91" s="402"/>
      <c r="C91" s="130" t="s">
        <v>666</v>
      </c>
      <c r="D91" s="387">
        <v>-2474</v>
      </c>
      <c r="E91" s="440" t="s">
        <v>734</v>
      </c>
    </row>
    <row r="92" spans="1:5" ht="15">
      <c r="A92" s="400"/>
      <c r="B92" s="402"/>
      <c r="C92" s="415" t="s">
        <v>545</v>
      </c>
      <c r="D92" s="387">
        <v>1500</v>
      </c>
      <c r="E92" s="398" t="s">
        <v>546</v>
      </c>
    </row>
    <row r="93" spans="1:5" ht="15">
      <c r="A93" s="400" t="s">
        <v>481</v>
      </c>
      <c r="B93" s="402" t="s">
        <v>271</v>
      </c>
      <c r="C93" s="415" t="s">
        <v>663</v>
      </c>
      <c r="D93" s="388">
        <v>6985</v>
      </c>
      <c r="E93" s="398" t="s">
        <v>673</v>
      </c>
    </row>
    <row r="94" spans="1:5" ht="75">
      <c r="A94" s="492" t="s">
        <v>648</v>
      </c>
      <c r="B94" s="402" t="s">
        <v>476</v>
      </c>
      <c r="C94" s="415"/>
      <c r="D94" s="54">
        <f>SUM(D95:D95)</f>
        <v>214</v>
      </c>
      <c r="E94" s="564" t="s">
        <v>758</v>
      </c>
    </row>
    <row r="95" spans="1:5" ht="15">
      <c r="A95" s="492"/>
      <c r="B95" s="417" t="s">
        <v>540</v>
      </c>
      <c r="C95" s="415" t="s">
        <v>206</v>
      </c>
      <c r="D95" s="38">
        <v>214</v>
      </c>
      <c r="E95" s="564"/>
    </row>
    <row r="96" spans="1:5" ht="31.5" customHeight="1">
      <c r="A96" s="565" t="s">
        <v>759</v>
      </c>
      <c r="B96" s="382" t="s">
        <v>272</v>
      </c>
      <c r="C96" s="415"/>
      <c r="D96" s="381">
        <f>SUM(D97:D102)</f>
        <v>0</v>
      </c>
      <c r="E96" s="112" t="s">
        <v>21</v>
      </c>
    </row>
    <row r="97" spans="1:5" ht="15">
      <c r="A97" s="577"/>
      <c r="B97" s="245" t="s">
        <v>18</v>
      </c>
      <c r="C97" s="415" t="s">
        <v>222</v>
      </c>
      <c r="D97" s="38">
        <v>1760</v>
      </c>
      <c r="E97" s="112"/>
    </row>
    <row r="98" spans="1:5" ht="15">
      <c r="A98" s="577"/>
      <c r="B98" s="417" t="s">
        <v>19</v>
      </c>
      <c r="C98" s="415" t="s">
        <v>7</v>
      </c>
      <c r="D98" s="38">
        <v>88</v>
      </c>
      <c r="E98" s="112"/>
    </row>
    <row r="99" spans="1:5" ht="15">
      <c r="A99" s="577"/>
      <c r="B99" s="245" t="s">
        <v>213</v>
      </c>
      <c r="C99" s="112" t="s">
        <v>203</v>
      </c>
      <c r="D99" s="38">
        <f>2300-1848-500</f>
        <v>-48</v>
      </c>
      <c r="E99" s="112"/>
    </row>
    <row r="100" spans="1:5" ht="15">
      <c r="A100" s="492"/>
      <c r="B100" s="245" t="s">
        <v>215</v>
      </c>
      <c r="C100" s="130" t="s">
        <v>345</v>
      </c>
      <c r="D100" s="38">
        <f>500-475</f>
        <v>25</v>
      </c>
      <c r="E100" s="564"/>
    </row>
    <row r="101" spans="1:5" ht="15">
      <c r="A101" s="492"/>
      <c r="B101" s="386" t="s">
        <v>346</v>
      </c>
      <c r="C101" s="425" t="s">
        <v>348</v>
      </c>
      <c r="D101" s="38">
        <f>-2000+975</f>
        <v>-1025</v>
      </c>
      <c r="E101" s="564"/>
    </row>
    <row r="102" spans="1:5" ht="15">
      <c r="A102" s="492"/>
      <c r="B102" s="245" t="s">
        <v>214</v>
      </c>
      <c r="C102" s="130" t="s">
        <v>208</v>
      </c>
      <c r="D102" s="38">
        <v>-800</v>
      </c>
      <c r="E102" s="564"/>
    </row>
    <row r="103" spans="1:5" ht="30">
      <c r="A103" s="492" t="s">
        <v>351</v>
      </c>
      <c r="B103" s="402" t="s">
        <v>273</v>
      </c>
      <c r="C103" s="398"/>
      <c r="D103" s="381">
        <f>SUM(D104:D104)</f>
        <v>8000</v>
      </c>
      <c r="E103" s="604" t="s">
        <v>783</v>
      </c>
    </row>
    <row r="104" spans="1:5" ht="15">
      <c r="A104" s="400"/>
      <c r="B104" s="245" t="s">
        <v>213</v>
      </c>
      <c r="C104" s="112" t="s">
        <v>203</v>
      </c>
      <c r="D104" s="595">
        <v>8000</v>
      </c>
      <c r="E104" s="604"/>
    </row>
    <row r="105" spans="1:5" ht="30">
      <c r="A105" s="492" t="s">
        <v>478</v>
      </c>
      <c r="B105" s="402" t="s">
        <v>496</v>
      </c>
      <c r="C105" s="398"/>
      <c r="D105" s="381">
        <f>SUM(D106:D108)</f>
        <v>22233</v>
      </c>
      <c r="E105" s="112"/>
    </row>
    <row r="106" spans="1:5" ht="15">
      <c r="A106" s="492"/>
      <c r="B106" s="417" t="s">
        <v>213</v>
      </c>
      <c r="C106" s="398" t="s">
        <v>203</v>
      </c>
      <c r="D106" s="38">
        <f>12911-198+2505</f>
        <v>15218</v>
      </c>
      <c r="E106" s="112" t="s">
        <v>807</v>
      </c>
    </row>
    <row r="107" spans="1:5" ht="60">
      <c r="A107" s="492"/>
      <c r="B107" s="245" t="s">
        <v>215</v>
      </c>
      <c r="C107" s="130" t="s">
        <v>345</v>
      </c>
      <c r="D107" s="38">
        <f>606-345-2505</f>
        <v>-2244</v>
      </c>
      <c r="E107" s="112" t="s">
        <v>709</v>
      </c>
    </row>
    <row r="108" spans="1:5" ht="105">
      <c r="A108" s="492"/>
      <c r="B108" s="386" t="s">
        <v>214</v>
      </c>
      <c r="C108" s="425" t="s">
        <v>240</v>
      </c>
      <c r="D108" s="38">
        <f>-6304+16420+198+345-1400</f>
        <v>9259</v>
      </c>
      <c r="E108" s="112" t="s">
        <v>830</v>
      </c>
    </row>
    <row r="109" spans="1:11" ht="90">
      <c r="A109" s="521" t="s">
        <v>678</v>
      </c>
      <c r="B109" s="504" t="s">
        <v>659</v>
      </c>
      <c r="C109" s="440" t="s">
        <v>348</v>
      </c>
      <c r="D109" s="541">
        <v>16772</v>
      </c>
      <c r="E109" s="112" t="s">
        <v>806</v>
      </c>
      <c r="F109" s="20"/>
      <c r="G109" s="94"/>
      <c r="H109" s="94"/>
      <c r="I109" s="94"/>
      <c r="J109" s="94"/>
      <c r="K109" s="94"/>
    </row>
    <row r="110" spans="1:11" ht="30">
      <c r="A110" s="418" t="s">
        <v>662</v>
      </c>
      <c r="B110" s="246" t="s">
        <v>655</v>
      </c>
      <c r="C110" s="398"/>
      <c r="D110" s="390">
        <f>SUM(D111:D115)</f>
        <v>0</v>
      </c>
      <c r="E110" s="112" t="s">
        <v>21</v>
      </c>
      <c r="F110" s="94"/>
      <c r="G110" s="94"/>
      <c r="H110" s="94"/>
      <c r="I110" s="94"/>
      <c r="J110" s="94"/>
      <c r="K110" s="94"/>
    </row>
    <row r="111" spans="1:11" ht="15">
      <c r="A111" s="418"/>
      <c r="B111" s="245" t="s">
        <v>18</v>
      </c>
      <c r="C111" s="415" t="s">
        <v>222</v>
      </c>
      <c r="D111" s="595">
        <v>350</v>
      </c>
      <c r="E111" s="112"/>
      <c r="F111" s="94"/>
      <c r="G111" s="94"/>
      <c r="H111" s="94"/>
      <c r="I111" s="94"/>
      <c r="J111" s="94"/>
      <c r="K111" s="94"/>
    </row>
    <row r="112" spans="1:11" ht="15">
      <c r="A112" s="418"/>
      <c r="B112" s="417" t="s">
        <v>19</v>
      </c>
      <c r="C112" s="415" t="s">
        <v>7</v>
      </c>
      <c r="D112" s="595">
        <v>18</v>
      </c>
      <c r="E112" s="112"/>
      <c r="F112" s="94"/>
      <c r="G112" s="94"/>
      <c r="H112" s="94"/>
      <c r="I112" s="94"/>
      <c r="J112" s="94"/>
      <c r="K112" s="94"/>
    </row>
    <row r="113" spans="1:11" ht="15">
      <c r="A113" s="418"/>
      <c r="B113" s="417" t="s">
        <v>213</v>
      </c>
      <c r="C113" s="398" t="s">
        <v>203</v>
      </c>
      <c r="D113" s="595">
        <v>987</v>
      </c>
      <c r="E113" s="112"/>
      <c r="F113" s="94"/>
      <c r="G113" s="94"/>
      <c r="H113" s="94"/>
      <c r="I113" s="94"/>
      <c r="J113" s="94"/>
      <c r="K113" s="94"/>
    </row>
    <row r="114" spans="1:11" ht="15">
      <c r="A114" s="418"/>
      <c r="B114" s="245" t="s">
        <v>215</v>
      </c>
      <c r="C114" s="130" t="s">
        <v>345</v>
      </c>
      <c r="D114" s="595">
        <v>-2055</v>
      </c>
      <c r="E114" s="112"/>
      <c r="F114" s="94"/>
      <c r="G114" s="94"/>
      <c r="H114" s="94"/>
      <c r="I114" s="94"/>
      <c r="J114" s="94"/>
      <c r="K114" s="94"/>
    </row>
    <row r="115" spans="1:11" ht="15">
      <c r="A115" s="418"/>
      <c r="B115" s="245" t="s">
        <v>214</v>
      </c>
      <c r="C115" s="130" t="s">
        <v>208</v>
      </c>
      <c r="D115" s="595">
        <v>700</v>
      </c>
      <c r="E115" s="112"/>
      <c r="F115" s="94"/>
      <c r="G115" s="94"/>
      <c r="H115" s="94"/>
      <c r="I115" s="94"/>
      <c r="J115" s="94"/>
      <c r="K115" s="94"/>
    </row>
    <row r="116" spans="1:11" ht="15">
      <c r="A116" s="142" t="s">
        <v>109</v>
      </c>
      <c r="B116" s="429" t="s">
        <v>15</v>
      </c>
      <c r="C116" s="142"/>
      <c r="D116" s="419">
        <f>SUM(D117+D121+D125+D126+D127+D135+D142+D145+D146+D147+D152+D156+D160+D163+D168+D170+D178)</f>
        <v>-217101</v>
      </c>
      <c r="E116" s="398"/>
      <c r="F116" s="94"/>
      <c r="G116" s="94"/>
      <c r="H116" s="94"/>
      <c r="I116" s="94"/>
      <c r="J116" s="94"/>
      <c r="K116" s="94"/>
    </row>
    <row r="117" spans="1:11" ht="30">
      <c r="A117" s="112" t="s">
        <v>112</v>
      </c>
      <c r="B117" s="431" t="s">
        <v>278</v>
      </c>
      <c r="C117" s="142"/>
      <c r="D117" s="381">
        <f>SUM(D118:D120)</f>
        <v>0</v>
      </c>
      <c r="E117" s="112" t="s">
        <v>21</v>
      </c>
      <c r="F117" s="94"/>
      <c r="G117" s="94"/>
      <c r="H117" s="94"/>
      <c r="I117" s="94"/>
      <c r="J117" s="94"/>
      <c r="K117" s="94"/>
    </row>
    <row r="118" spans="1:11" ht="15">
      <c r="A118" s="142"/>
      <c r="B118" s="417" t="s">
        <v>213</v>
      </c>
      <c r="C118" s="398" t="s">
        <v>203</v>
      </c>
      <c r="D118" s="38">
        <v>-1796</v>
      </c>
      <c r="E118" s="398"/>
      <c r="F118" s="94"/>
      <c r="G118" s="94"/>
      <c r="H118" s="94"/>
      <c r="I118" s="94"/>
      <c r="J118" s="94"/>
      <c r="K118" s="94"/>
    </row>
    <row r="119" spans="1:11" ht="15">
      <c r="A119" s="142"/>
      <c r="B119" s="245" t="s">
        <v>215</v>
      </c>
      <c r="C119" s="130" t="s">
        <v>345</v>
      </c>
      <c r="D119" s="38">
        <v>1746</v>
      </c>
      <c r="E119" s="398"/>
      <c r="F119" s="94"/>
      <c r="G119" s="94"/>
      <c r="H119" s="94"/>
      <c r="I119" s="94"/>
      <c r="J119" s="94"/>
      <c r="K119" s="94"/>
    </row>
    <row r="120" spans="1:11" ht="15">
      <c r="A120" s="142"/>
      <c r="B120" s="386" t="s">
        <v>346</v>
      </c>
      <c r="C120" s="425" t="s">
        <v>348</v>
      </c>
      <c r="D120" s="38">
        <v>50</v>
      </c>
      <c r="E120" s="398"/>
      <c r="F120" s="94"/>
      <c r="G120" s="94"/>
      <c r="H120" s="94"/>
      <c r="I120" s="94"/>
      <c r="J120" s="94"/>
      <c r="K120" s="94"/>
    </row>
    <row r="121" spans="1:11" ht="30">
      <c r="A121" s="400" t="s">
        <v>113</v>
      </c>
      <c r="B121" s="431" t="s">
        <v>279</v>
      </c>
      <c r="C121" s="130"/>
      <c r="D121" s="381">
        <f>SUM(D122:D124)</f>
        <v>-891</v>
      </c>
      <c r="E121" s="398" t="s">
        <v>725</v>
      </c>
      <c r="F121" s="94"/>
      <c r="G121" s="94"/>
      <c r="H121" s="94"/>
      <c r="I121" s="94"/>
      <c r="J121" s="94"/>
      <c r="K121" s="94"/>
    </row>
    <row r="122" spans="1:11" ht="15">
      <c r="A122" s="418"/>
      <c r="B122" s="417" t="s">
        <v>213</v>
      </c>
      <c r="C122" s="398" t="s">
        <v>203</v>
      </c>
      <c r="D122" s="38">
        <v>4609</v>
      </c>
      <c r="E122" s="398"/>
      <c r="F122" s="94"/>
      <c r="G122" s="94"/>
      <c r="H122" s="94"/>
      <c r="I122" s="94"/>
      <c r="J122" s="94"/>
      <c r="K122" s="94"/>
    </row>
    <row r="123" spans="1:11" ht="15">
      <c r="A123" s="418"/>
      <c r="B123" s="245" t="s">
        <v>215</v>
      </c>
      <c r="C123" s="130" t="s">
        <v>345</v>
      </c>
      <c r="D123" s="38">
        <v>1000</v>
      </c>
      <c r="E123" s="398"/>
      <c r="F123" s="94"/>
      <c r="G123" s="94"/>
      <c r="H123" s="94"/>
      <c r="I123" s="94"/>
      <c r="J123" s="94"/>
      <c r="K123" s="94"/>
    </row>
    <row r="124" spans="1:11" ht="15">
      <c r="A124" s="177"/>
      <c r="B124" s="245" t="s">
        <v>346</v>
      </c>
      <c r="C124" s="440" t="s">
        <v>348</v>
      </c>
      <c r="D124" s="38">
        <v>-6500</v>
      </c>
      <c r="E124" s="398"/>
      <c r="F124" s="94"/>
      <c r="G124" s="94"/>
      <c r="H124" s="94"/>
      <c r="I124" s="94"/>
      <c r="J124" s="94"/>
      <c r="K124" s="94"/>
    </row>
    <row r="125" spans="1:5" ht="15">
      <c r="A125" s="423" t="s">
        <v>653</v>
      </c>
      <c r="B125" s="402" t="s">
        <v>654</v>
      </c>
      <c r="C125" s="415" t="s">
        <v>663</v>
      </c>
      <c r="D125" s="384"/>
      <c r="E125" s="398" t="s">
        <v>664</v>
      </c>
    </row>
    <row r="126" spans="1:5" ht="15">
      <c r="A126" s="177"/>
      <c r="B126" s="417"/>
      <c r="C126" s="415" t="s">
        <v>665</v>
      </c>
      <c r="D126" s="384"/>
      <c r="E126" s="398"/>
    </row>
    <row r="127" spans="1:5" ht="45">
      <c r="A127" s="418" t="s">
        <v>705</v>
      </c>
      <c r="B127" s="438" t="s">
        <v>550</v>
      </c>
      <c r="C127" s="415"/>
      <c r="D127" s="381">
        <f>SUM(D128:D134)</f>
        <v>240</v>
      </c>
      <c r="E127" s="540" t="s">
        <v>707</v>
      </c>
    </row>
    <row r="128" spans="1:5" ht="15">
      <c r="A128" s="418"/>
      <c r="B128" s="245" t="s">
        <v>18</v>
      </c>
      <c r="C128" s="415" t="s">
        <v>222</v>
      </c>
      <c r="D128" s="460">
        <v>193</v>
      </c>
      <c r="E128" s="540"/>
    </row>
    <row r="129" spans="1:5" ht="15">
      <c r="A129" s="418"/>
      <c r="B129" s="417" t="s">
        <v>19</v>
      </c>
      <c r="C129" s="415" t="s">
        <v>7</v>
      </c>
      <c r="D129" s="460">
        <v>47</v>
      </c>
      <c r="E129" s="540"/>
    </row>
    <row r="130" spans="1:5" ht="15">
      <c r="A130" s="418"/>
      <c r="B130" s="417" t="s">
        <v>212</v>
      </c>
      <c r="C130" s="410" t="s">
        <v>202</v>
      </c>
      <c r="D130" s="460">
        <v>11</v>
      </c>
      <c r="E130" s="540"/>
    </row>
    <row r="131" spans="1:5" ht="15">
      <c r="A131" s="177"/>
      <c r="B131" s="417" t="s">
        <v>213</v>
      </c>
      <c r="C131" s="398" t="s">
        <v>203</v>
      </c>
      <c r="D131" s="38">
        <f>-1417-100</f>
        <v>-1517</v>
      </c>
      <c r="E131" s="540"/>
    </row>
    <row r="132" spans="1:5" ht="15">
      <c r="A132" s="177"/>
      <c r="B132" s="245" t="s">
        <v>215</v>
      </c>
      <c r="C132" s="130" t="s">
        <v>706</v>
      </c>
      <c r="D132" s="38">
        <f>680+100</f>
        <v>780</v>
      </c>
      <c r="E132" s="540"/>
    </row>
    <row r="133" spans="1:5" ht="15">
      <c r="A133" s="177"/>
      <c r="B133" s="245" t="s">
        <v>739</v>
      </c>
      <c r="C133" s="130" t="s">
        <v>205</v>
      </c>
      <c r="D133" s="38">
        <v>-174</v>
      </c>
      <c r="E133" s="540"/>
    </row>
    <row r="134" spans="1:5" ht="15">
      <c r="A134" s="177"/>
      <c r="B134" s="245" t="s">
        <v>214</v>
      </c>
      <c r="C134" s="130" t="s">
        <v>208</v>
      </c>
      <c r="D134" s="38">
        <v>900</v>
      </c>
      <c r="E134" s="540"/>
    </row>
    <row r="135" spans="1:16" s="441" customFormat="1" ht="45">
      <c r="A135" s="437" t="s">
        <v>339</v>
      </c>
      <c r="B135" s="438" t="s">
        <v>281</v>
      </c>
      <c r="C135" s="439"/>
      <c r="D135" s="390">
        <f>SUM(D136:D141)</f>
        <v>7000</v>
      </c>
      <c r="E135" s="109" t="s">
        <v>827</v>
      </c>
      <c r="F135" s="90"/>
      <c r="G135" s="90"/>
      <c r="H135" s="90"/>
      <c r="I135" s="90"/>
      <c r="J135" s="90"/>
      <c r="K135" s="90"/>
      <c r="L135" s="90"/>
      <c r="M135" s="90"/>
      <c r="N135" s="90"/>
      <c r="O135" s="90"/>
      <c r="P135" s="90"/>
    </row>
    <row r="136" spans="1:16" s="441" customFormat="1" ht="15">
      <c r="A136" s="464"/>
      <c r="B136" s="245" t="s">
        <v>18</v>
      </c>
      <c r="C136" s="415" t="s">
        <v>222</v>
      </c>
      <c r="D136" s="38">
        <v>4367</v>
      </c>
      <c r="E136" s="440"/>
      <c r="F136" s="90"/>
      <c r="G136" s="90"/>
      <c r="H136" s="90"/>
      <c r="I136" s="90"/>
      <c r="J136" s="90"/>
      <c r="K136" s="90"/>
      <c r="L136" s="90"/>
      <c r="M136" s="90"/>
      <c r="N136" s="90"/>
      <c r="O136" s="90"/>
      <c r="P136" s="90"/>
    </row>
    <row r="137" spans="1:16" s="441" customFormat="1" ht="15">
      <c r="A137" s="464"/>
      <c r="B137" s="417" t="s">
        <v>19</v>
      </c>
      <c r="C137" s="415" t="s">
        <v>7</v>
      </c>
      <c r="D137" s="38">
        <v>373</v>
      </c>
      <c r="E137" s="440"/>
      <c r="F137" s="90"/>
      <c r="G137" s="90"/>
      <c r="H137" s="90"/>
      <c r="I137" s="90"/>
      <c r="J137" s="90"/>
      <c r="K137" s="90"/>
      <c r="L137" s="90"/>
      <c r="M137" s="90"/>
      <c r="N137" s="90"/>
      <c r="O137" s="90"/>
      <c r="P137" s="90"/>
    </row>
    <row r="138" spans="1:5" ht="15">
      <c r="A138" s="423"/>
      <c r="B138" s="245" t="s">
        <v>213</v>
      </c>
      <c r="C138" s="398" t="s">
        <v>203</v>
      </c>
      <c r="D138" s="38">
        <v>-3579</v>
      </c>
      <c r="E138" s="397"/>
    </row>
    <row r="139" spans="1:5" ht="15">
      <c r="A139" s="423"/>
      <c r="B139" s="245" t="s">
        <v>215</v>
      </c>
      <c r="C139" s="130" t="s">
        <v>345</v>
      </c>
      <c r="D139" s="38">
        <v>6062</v>
      </c>
      <c r="E139" s="397"/>
    </row>
    <row r="140" spans="1:5" ht="15">
      <c r="A140" s="423"/>
      <c r="B140" s="417" t="s">
        <v>526</v>
      </c>
      <c r="C140" s="415" t="s">
        <v>156</v>
      </c>
      <c r="D140" s="38">
        <v>195</v>
      </c>
      <c r="E140" s="548"/>
    </row>
    <row r="141" spans="1:5" ht="15">
      <c r="A141" s="423"/>
      <c r="B141" s="245" t="s">
        <v>214</v>
      </c>
      <c r="C141" s="130" t="s">
        <v>208</v>
      </c>
      <c r="D141" s="38">
        <v>-418</v>
      </c>
      <c r="E141" s="548"/>
    </row>
    <row r="142" spans="1:5" ht="45">
      <c r="A142" s="400" t="s">
        <v>595</v>
      </c>
      <c r="B142" s="438" t="s">
        <v>396</v>
      </c>
      <c r="C142" s="415"/>
      <c r="D142" s="381">
        <f>SUM(D143:D144)</f>
        <v>1303</v>
      </c>
      <c r="E142" s="109"/>
    </row>
    <row r="143" spans="1:5" ht="15">
      <c r="A143" s="418"/>
      <c r="B143" s="245" t="s">
        <v>215</v>
      </c>
      <c r="C143" s="130" t="s">
        <v>345</v>
      </c>
      <c r="D143" s="460">
        <v>90</v>
      </c>
      <c r="E143" s="109" t="s">
        <v>815</v>
      </c>
    </row>
    <row r="144" spans="1:5" ht="15">
      <c r="A144" s="423"/>
      <c r="B144" s="245" t="s">
        <v>214</v>
      </c>
      <c r="C144" s="415" t="s">
        <v>208</v>
      </c>
      <c r="D144" s="38">
        <v>1213</v>
      </c>
      <c r="E144" s="109" t="s">
        <v>814</v>
      </c>
    </row>
    <row r="145" spans="1:5" ht="15">
      <c r="A145" s="400" t="s">
        <v>360</v>
      </c>
      <c r="B145" s="436" t="s">
        <v>115</v>
      </c>
      <c r="C145" s="130" t="s">
        <v>366</v>
      </c>
      <c r="D145" s="513">
        <v>15986</v>
      </c>
      <c r="E145" s="398" t="s">
        <v>647</v>
      </c>
    </row>
    <row r="146" spans="1:5" ht="15">
      <c r="A146" s="400"/>
      <c r="B146" s="436"/>
      <c r="C146" s="130" t="s">
        <v>1</v>
      </c>
      <c r="D146" s="513">
        <v>3463</v>
      </c>
      <c r="E146" s="363" t="s">
        <v>732</v>
      </c>
    </row>
    <row r="147" spans="1:5" ht="45">
      <c r="A147" s="400" t="s">
        <v>703</v>
      </c>
      <c r="B147" s="382" t="s">
        <v>283</v>
      </c>
      <c r="C147" s="130"/>
      <c r="D147" s="614">
        <f>SUM(D148:D151)</f>
        <v>15454</v>
      </c>
      <c r="E147" s="592" t="s">
        <v>816</v>
      </c>
    </row>
    <row r="148" spans="1:5" ht="15">
      <c r="A148" s="400"/>
      <c r="B148" s="245" t="s">
        <v>18</v>
      </c>
      <c r="C148" s="130" t="s">
        <v>222</v>
      </c>
      <c r="D148" s="113">
        <v>870</v>
      </c>
      <c r="E148" s="592"/>
    </row>
    <row r="149" spans="1:5" ht="15">
      <c r="A149" s="400"/>
      <c r="B149" s="245" t="s">
        <v>19</v>
      </c>
      <c r="C149" s="130" t="s">
        <v>7</v>
      </c>
      <c r="D149" s="113">
        <v>210</v>
      </c>
      <c r="E149" s="592"/>
    </row>
    <row r="150" spans="1:5" ht="15">
      <c r="A150" s="400"/>
      <c r="B150" s="245" t="s">
        <v>213</v>
      </c>
      <c r="C150" s="112" t="s">
        <v>203</v>
      </c>
      <c r="D150" s="113">
        <f>9524+4230-1080</f>
        <v>12674</v>
      </c>
      <c r="E150" s="593"/>
    </row>
    <row r="151" spans="1:5" ht="15">
      <c r="A151" s="400"/>
      <c r="B151" s="245" t="s">
        <v>215</v>
      </c>
      <c r="C151" s="130" t="s">
        <v>345</v>
      </c>
      <c r="D151" s="113">
        <v>1700</v>
      </c>
      <c r="E151" s="593"/>
    </row>
    <row r="152" spans="1:7" ht="29.25" customHeight="1">
      <c r="A152" s="400" t="s">
        <v>163</v>
      </c>
      <c r="B152" s="382" t="s">
        <v>284</v>
      </c>
      <c r="C152" s="112"/>
      <c r="D152" s="615">
        <f>SUM(D153:D155)</f>
        <v>0</v>
      </c>
      <c r="E152" s="109" t="s">
        <v>21</v>
      </c>
      <c r="G152" s="94"/>
    </row>
    <row r="153" spans="1:7" ht="15">
      <c r="A153" s="616"/>
      <c r="B153" s="245" t="s">
        <v>213</v>
      </c>
      <c r="C153" s="112" t="s">
        <v>203</v>
      </c>
      <c r="D153" s="133">
        <f>3000+7864</f>
        <v>10864</v>
      </c>
      <c r="E153" s="610"/>
      <c r="G153" s="94"/>
    </row>
    <row r="154" spans="1:7" ht="15">
      <c r="A154" s="617"/>
      <c r="B154" s="383" t="s">
        <v>215</v>
      </c>
      <c r="C154" s="130" t="s">
        <v>345</v>
      </c>
      <c r="D154" s="133">
        <v>-4689</v>
      </c>
      <c r="E154" s="610"/>
      <c r="G154" s="94"/>
    </row>
    <row r="155" spans="1:7" ht="15">
      <c r="A155" s="617"/>
      <c r="B155" s="245" t="s">
        <v>214</v>
      </c>
      <c r="C155" s="130" t="s">
        <v>208</v>
      </c>
      <c r="D155" s="133">
        <f>-3000-3175</f>
        <v>-6175</v>
      </c>
      <c r="E155" s="592"/>
      <c r="G155" s="94"/>
    </row>
    <row r="156" spans="1:5" ht="45">
      <c r="A156" s="400" t="s">
        <v>493</v>
      </c>
      <c r="B156" s="402" t="s">
        <v>489</v>
      </c>
      <c r="C156" s="415"/>
      <c r="D156" s="381">
        <f>SUM(D157:D159)</f>
        <v>0</v>
      </c>
      <c r="E156" s="109" t="s">
        <v>21</v>
      </c>
    </row>
    <row r="157" spans="1:5" ht="15">
      <c r="A157" s="400"/>
      <c r="B157" s="417" t="s">
        <v>213</v>
      </c>
      <c r="C157" s="398" t="s">
        <v>203</v>
      </c>
      <c r="D157" s="38">
        <v>-428</v>
      </c>
      <c r="E157" s="432"/>
    </row>
    <row r="158" spans="1:5" ht="17.25" customHeight="1">
      <c r="A158" s="418"/>
      <c r="B158" s="245" t="s">
        <v>215</v>
      </c>
      <c r="C158" s="130" t="s">
        <v>345</v>
      </c>
      <c r="D158" s="38">
        <v>250</v>
      </c>
      <c r="E158" s="432"/>
    </row>
    <row r="159" spans="1:5" ht="17.25" customHeight="1">
      <c r="A159" s="418"/>
      <c r="B159" s="245" t="s">
        <v>214</v>
      </c>
      <c r="C159" s="130" t="s">
        <v>208</v>
      </c>
      <c r="D159" s="38">
        <v>178</v>
      </c>
      <c r="E159" s="566"/>
    </row>
    <row r="160" spans="1:5" ht="45">
      <c r="A160" s="400" t="s">
        <v>506</v>
      </c>
      <c r="B160" s="402" t="s">
        <v>494</v>
      </c>
      <c r="C160" s="415"/>
      <c r="D160" s="381">
        <f>SUM(D161:D162)</f>
        <v>-250350</v>
      </c>
      <c r="E160" s="109" t="s">
        <v>817</v>
      </c>
    </row>
    <row r="161" spans="1:5" ht="17.25" customHeight="1">
      <c r="A161" s="400"/>
      <c r="B161" s="417" t="s">
        <v>213</v>
      </c>
      <c r="C161" s="398" t="s">
        <v>203</v>
      </c>
      <c r="D161" s="38">
        <v>-12700</v>
      </c>
      <c r="E161" s="432"/>
    </row>
    <row r="162" spans="1:5" ht="17.25" customHeight="1">
      <c r="A162" s="418"/>
      <c r="B162" s="245" t="s">
        <v>214</v>
      </c>
      <c r="C162" s="130" t="s">
        <v>208</v>
      </c>
      <c r="D162" s="38">
        <v>-237650</v>
      </c>
      <c r="E162" s="566"/>
    </row>
    <row r="163" spans="1:5" ht="73.5" customHeight="1">
      <c r="A163" s="567" t="s">
        <v>607</v>
      </c>
      <c r="B163" s="568" t="s">
        <v>606</v>
      </c>
      <c r="C163" s="130"/>
      <c r="D163" s="545">
        <f>SUM(D164:D167)</f>
        <v>-3642</v>
      </c>
      <c r="E163" s="578" t="s">
        <v>760</v>
      </c>
    </row>
    <row r="164" spans="1:5" ht="17.25" customHeight="1">
      <c r="A164" s="418"/>
      <c r="B164" s="417" t="s">
        <v>18</v>
      </c>
      <c r="C164" s="415" t="s">
        <v>222</v>
      </c>
      <c r="D164" s="38">
        <v>-26</v>
      </c>
      <c r="E164" s="566"/>
    </row>
    <row r="165" spans="1:5" ht="17.25" customHeight="1">
      <c r="A165" s="418"/>
      <c r="B165" s="417" t="s">
        <v>19</v>
      </c>
      <c r="C165" s="415" t="s">
        <v>7</v>
      </c>
      <c r="D165" s="38">
        <v>1</v>
      </c>
      <c r="E165" s="566"/>
    </row>
    <row r="166" spans="1:5" ht="17.25" customHeight="1">
      <c r="A166" s="418"/>
      <c r="B166" s="417" t="s">
        <v>213</v>
      </c>
      <c r="C166" s="398" t="s">
        <v>203</v>
      </c>
      <c r="D166" s="38">
        <v>-3618</v>
      </c>
      <c r="E166" s="566"/>
    </row>
    <row r="167" spans="1:5" ht="17.25" customHeight="1">
      <c r="A167" s="418"/>
      <c r="B167" s="245" t="s">
        <v>215</v>
      </c>
      <c r="C167" s="415" t="s">
        <v>345</v>
      </c>
      <c r="D167" s="38">
        <v>1</v>
      </c>
      <c r="E167" s="566"/>
    </row>
    <row r="168" spans="1:5" ht="17.25" customHeight="1">
      <c r="A168" s="433" t="s">
        <v>117</v>
      </c>
      <c r="B168" s="444" t="s">
        <v>610</v>
      </c>
      <c r="C168" s="415"/>
      <c r="D168" s="390">
        <f>D169</f>
        <v>-7000</v>
      </c>
      <c r="E168" s="605" t="s">
        <v>831</v>
      </c>
    </row>
    <row r="169" spans="1:5" ht="17.25" customHeight="1">
      <c r="A169" s="418"/>
      <c r="B169" s="417" t="s">
        <v>213</v>
      </c>
      <c r="C169" s="398" t="s">
        <v>203</v>
      </c>
      <c r="D169" s="595">
        <v>-7000</v>
      </c>
      <c r="E169" s="605"/>
    </row>
    <row r="170" spans="1:5" ht="29.25">
      <c r="A170" s="433" t="s">
        <v>118</v>
      </c>
      <c r="B170" s="246" t="s">
        <v>611</v>
      </c>
      <c r="C170" s="112"/>
      <c r="D170" s="381">
        <f>SUM(D171:D177)</f>
        <v>7000</v>
      </c>
      <c r="E170" s="598" t="s">
        <v>832</v>
      </c>
    </row>
    <row r="171" spans="1:5" ht="15">
      <c r="A171" s="618"/>
      <c r="B171" s="245" t="s">
        <v>18</v>
      </c>
      <c r="C171" s="130" t="s">
        <v>222</v>
      </c>
      <c r="D171" s="38">
        <v>-4545</v>
      </c>
      <c r="E171" s="598"/>
    </row>
    <row r="172" spans="1:5" ht="15">
      <c r="A172" s="618"/>
      <c r="B172" s="245" t="s">
        <v>19</v>
      </c>
      <c r="C172" s="130" t="s">
        <v>7</v>
      </c>
      <c r="D172" s="38">
        <f>-1509+264</f>
        <v>-1245</v>
      </c>
      <c r="E172" s="598"/>
    </row>
    <row r="173" spans="1:5" ht="16.5" customHeight="1">
      <c r="A173" s="618"/>
      <c r="B173" s="245" t="s">
        <v>213</v>
      </c>
      <c r="C173" s="112" t="s">
        <v>203</v>
      </c>
      <c r="D173" s="38">
        <f>18608-670</f>
        <v>17938</v>
      </c>
      <c r="E173" s="606"/>
    </row>
    <row r="174" spans="1:5" ht="15">
      <c r="A174" s="418"/>
      <c r="B174" s="245" t="s">
        <v>215</v>
      </c>
      <c r="C174" s="130" t="s">
        <v>345</v>
      </c>
      <c r="D174" s="38">
        <v>3000</v>
      </c>
      <c r="E174" s="606"/>
    </row>
    <row r="175" spans="1:5" ht="15">
      <c r="A175" s="418"/>
      <c r="B175" s="383" t="s">
        <v>346</v>
      </c>
      <c r="C175" s="425" t="s">
        <v>348</v>
      </c>
      <c r="D175" s="38">
        <v>-6000</v>
      </c>
      <c r="E175" s="606"/>
    </row>
    <row r="176" spans="1:5" ht="15">
      <c r="A176" s="418"/>
      <c r="B176" s="245" t="s">
        <v>214</v>
      </c>
      <c r="C176" s="130" t="s">
        <v>208</v>
      </c>
      <c r="D176" s="38">
        <v>-2500</v>
      </c>
      <c r="E176" s="606"/>
    </row>
    <row r="177" spans="1:5" ht="15">
      <c r="A177" s="418"/>
      <c r="B177" s="245" t="s">
        <v>745</v>
      </c>
      <c r="C177" s="130" t="s">
        <v>826</v>
      </c>
      <c r="D177" s="38">
        <f>-54+406</f>
        <v>352</v>
      </c>
      <c r="E177" s="607"/>
    </row>
    <row r="178" spans="1:5" ht="45">
      <c r="A178" s="426" t="s">
        <v>452</v>
      </c>
      <c r="B178" s="402" t="s">
        <v>612</v>
      </c>
      <c r="C178" s="112"/>
      <c r="D178" s="390">
        <f>SUM(D179)</f>
        <v>-5664</v>
      </c>
      <c r="E178" s="608"/>
    </row>
    <row r="179" spans="1:5" ht="31.5">
      <c r="A179" s="426"/>
      <c r="B179" s="417" t="s">
        <v>346</v>
      </c>
      <c r="C179" s="398" t="s">
        <v>348</v>
      </c>
      <c r="D179" s="113">
        <v>-5664</v>
      </c>
      <c r="E179" s="599" t="s">
        <v>818</v>
      </c>
    </row>
    <row r="180" spans="1:5" ht="15">
      <c r="A180" s="445" t="s">
        <v>8</v>
      </c>
      <c r="B180" s="429" t="s">
        <v>119</v>
      </c>
      <c r="C180" s="173" t="s">
        <v>8</v>
      </c>
      <c r="D180" s="419">
        <f>D181+D219+D225+D252+D281+D285</f>
        <v>-2139660</v>
      </c>
      <c r="E180" s="446"/>
    </row>
    <row r="181" spans="1:5" ht="15">
      <c r="A181" s="447" t="s">
        <v>10</v>
      </c>
      <c r="B181" s="431" t="s">
        <v>120</v>
      </c>
      <c r="C181" s="415"/>
      <c r="D181" s="448">
        <f>SUM(D182+D188+D194+D198+D204+D210+D215)</f>
        <v>9000</v>
      </c>
      <c r="E181" s="112"/>
    </row>
    <row r="182" spans="1:12" ht="15">
      <c r="A182" s="391" t="s">
        <v>429</v>
      </c>
      <c r="B182" s="392" t="s">
        <v>288</v>
      </c>
      <c r="C182" s="393"/>
      <c r="D182" s="381">
        <f>SUM(D183:D187)</f>
        <v>0</v>
      </c>
      <c r="E182" s="109" t="s">
        <v>21</v>
      </c>
      <c r="F182" s="526"/>
      <c r="G182" s="467"/>
      <c r="H182" s="467"/>
      <c r="I182" s="467"/>
      <c r="J182" s="467"/>
      <c r="K182" s="467"/>
      <c r="L182" s="467"/>
    </row>
    <row r="183" spans="1:12" ht="15">
      <c r="A183" s="391"/>
      <c r="B183" s="417" t="s">
        <v>18</v>
      </c>
      <c r="C183" s="415" t="s">
        <v>222</v>
      </c>
      <c r="D183" s="595">
        <v>-2000</v>
      </c>
      <c r="E183" s="109"/>
      <c r="F183" s="526"/>
      <c r="G183" s="467"/>
      <c r="H183" s="467"/>
      <c r="I183" s="467"/>
      <c r="J183" s="467"/>
      <c r="K183" s="467"/>
      <c r="L183" s="467"/>
    </row>
    <row r="184" spans="1:12" ht="15">
      <c r="A184" s="391"/>
      <c r="B184" s="417" t="s">
        <v>19</v>
      </c>
      <c r="C184" s="415" t="s">
        <v>7</v>
      </c>
      <c r="D184" s="595">
        <v>2000</v>
      </c>
      <c r="E184" s="109"/>
      <c r="F184" s="526"/>
      <c r="G184" s="467"/>
      <c r="H184" s="467"/>
      <c r="I184" s="467"/>
      <c r="J184" s="467"/>
      <c r="K184" s="467"/>
      <c r="L184" s="467"/>
    </row>
    <row r="185" spans="1:5" ht="15">
      <c r="A185" s="391"/>
      <c r="B185" s="417" t="s">
        <v>213</v>
      </c>
      <c r="C185" s="398" t="s">
        <v>203</v>
      </c>
      <c r="D185" s="595">
        <v>-5184</v>
      </c>
      <c r="E185" s="109"/>
    </row>
    <row r="186" spans="1:5" ht="15">
      <c r="A186" s="391"/>
      <c r="B186" s="245" t="s">
        <v>215</v>
      </c>
      <c r="C186" s="415" t="s">
        <v>345</v>
      </c>
      <c r="D186" s="595">
        <v>4082</v>
      </c>
      <c r="E186" s="403"/>
    </row>
    <row r="187" spans="1:5" ht="15">
      <c r="A187" s="391"/>
      <c r="B187" s="245" t="s">
        <v>214</v>
      </c>
      <c r="C187" s="130" t="s">
        <v>208</v>
      </c>
      <c r="D187" s="595">
        <v>1102</v>
      </c>
      <c r="E187" s="403"/>
    </row>
    <row r="188" spans="1:5" ht="15">
      <c r="A188" s="391" t="s">
        <v>736</v>
      </c>
      <c r="B188" s="392" t="s">
        <v>289</v>
      </c>
      <c r="C188" s="393"/>
      <c r="D188" s="390">
        <f>SUM(D189:D193)</f>
        <v>0</v>
      </c>
      <c r="E188" s="109" t="s">
        <v>21</v>
      </c>
    </row>
    <row r="189" spans="1:5" ht="15">
      <c r="A189" s="391"/>
      <c r="B189" s="417" t="s">
        <v>18</v>
      </c>
      <c r="C189" s="415" t="s">
        <v>222</v>
      </c>
      <c r="D189" s="595">
        <v>-2000</v>
      </c>
      <c r="E189" s="109"/>
    </row>
    <row r="190" spans="1:5" ht="15">
      <c r="A190" s="391"/>
      <c r="B190" s="417" t="s">
        <v>19</v>
      </c>
      <c r="C190" s="415" t="s">
        <v>7</v>
      </c>
      <c r="D190" s="595">
        <v>2000</v>
      </c>
      <c r="E190" s="109"/>
    </row>
    <row r="191" spans="1:5" ht="15">
      <c r="A191" s="391"/>
      <c r="B191" s="417" t="s">
        <v>213</v>
      </c>
      <c r="C191" s="398" t="s">
        <v>203</v>
      </c>
      <c r="D191" s="595">
        <v>-4437</v>
      </c>
      <c r="E191" s="403"/>
    </row>
    <row r="192" spans="1:5" ht="15">
      <c r="A192" s="391"/>
      <c r="B192" s="245" t="s">
        <v>215</v>
      </c>
      <c r="C192" s="415" t="s">
        <v>345</v>
      </c>
      <c r="D192" s="595">
        <v>1737</v>
      </c>
      <c r="E192" s="403"/>
    </row>
    <row r="193" spans="1:5" ht="15">
      <c r="A193" s="391"/>
      <c r="B193" s="245" t="s">
        <v>214</v>
      </c>
      <c r="C193" s="130" t="s">
        <v>208</v>
      </c>
      <c r="D193" s="595">
        <v>2700</v>
      </c>
      <c r="E193" s="403"/>
    </row>
    <row r="194" spans="1:5" ht="15">
      <c r="A194" s="394" t="s">
        <v>427</v>
      </c>
      <c r="B194" s="246" t="s">
        <v>290</v>
      </c>
      <c r="C194" s="415"/>
      <c r="D194" s="390">
        <f>SUM(D195:D197)</f>
        <v>0</v>
      </c>
      <c r="E194" s="112" t="s">
        <v>21</v>
      </c>
    </row>
    <row r="195" spans="1:5" ht="15">
      <c r="A195" s="394"/>
      <c r="B195" s="417" t="s">
        <v>213</v>
      </c>
      <c r="C195" s="398" t="s">
        <v>203</v>
      </c>
      <c r="D195" s="595">
        <v>-1700</v>
      </c>
      <c r="E195" s="188"/>
    </row>
    <row r="196" spans="1:5" ht="15">
      <c r="A196" s="394"/>
      <c r="B196" s="245" t="s">
        <v>215</v>
      </c>
      <c r="C196" s="415" t="s">
        <v>345</v>
      </c>
      <c r="D196" s="595">
        <v>1300</v>
      </c>
      <c r="E196" s="403"/>
    </row>
    <row r="197" spans="1:5" ht="15">
      <c r="A197" s="394"/>
      <c r="B197" s="245" t="s">
        <v>214</v>
      </c>
      <c r="C197" s="130" t="s">
        <v>208</v>
      </c>
      <c r="D197" s="595">
        <v>400</v>
      </c>
      <c r="E197" s="403"/>
    </row>
    <row r="198" spans="1:5" s="395" customFormat="1" ht="15">
      <c r="A198" s="394" t="s">
        <v>220</v>
      </c>
      <c r="B198" s="402" t="s">
        <v>291</v>
      </c>
      <c r="C198" s="415"/>
      <c r="D198" s="390">
        <f>SUM(D199:D203)</f>
        <v>0</v>
      </c>
      <c r="E198" s="112" t="s">
        <v>21</v>
      </c>
    </row>
    <row r="199" spans="1:5" s="395" customFormat="1" ht="15">
      <c r="A199" s="394"/>
      <c r="B199" s="417" t="s">
        <v>18</v>
      </c>
      <c r="C199" s="415" t="s">
        <v>222</v>
      </c>
      <c r="D199" s="595">
        <v>-3000</v>
      </c>
      <c r="E199" s="112"/>
    </row>
    <row r="200" spans="1:5" s="395" customFormat="1" ht="15">
      <c r="A200" s="394"/>
      <c r="B200" s="417" t="s">
        <v>19</v>
      </c>
      <c r="C200" s="415" t="s">
        <v>7</v>
      </c>
      <c r="D200" s="595">
        <v>3000</v>
      </c>
      <c r="E200" s="112"/>
    </row>
    <row r="201" spans="1:5" s="395" customFormat="1" ht="15">
      <c r="A201" s="394"/>
      <c r="B201" s="417" t="s">
        <v>213</v>
      </c>
      <c r="C201" s="398" t="s">
        <v>203</v>
      </c>
      <c r="D201" s="595">
        <v>-2280</v>
      </c>
      <c r="E201" s="188"/>
    </row>
    <row r="202" spans="1:5" s="395" customFormat="1" ht="15">
      <c r="A202" s="394"/>
      <c r="B202" s="417" t="s">
        <v>215</v>
      </c>
      <c r="C202" s="415" t="s">
        <v>345</v>
      </c>
      <c r="D202" s="595">
        <v>1380</v>
      </c>
      <c r="E202" s="403"/>
    </row>
    <row r="203" spans="1:5" s="395" customFormat="1" ht="15">
      <c r="A203" s="394"/>
      <c r="B203" s="417" t="s">
        <v>214</v>
      </c>
      <c r="C203" s="130" t="s">
        <v>208</v>
      </c>
      <c r="D203" s="595">
        <v>900</v>
      </c>
      <c r="E203" s="403"/>
    </row>
    <row r="204" spans="1:5" s="395" customFormat="1" ht="15">
      <c r="A204" s="394" t="s">
        <v>428</v>
      </c>
      <c r="B204" s="402" t="s">
        <v>292</v>
      </c>
      <c r="C204" s="415"/>
      <c r="D204" s="390">
        <f>SUM(D205:D209)</f>
        <v>4000</v>
      </c>
      <c r="E204" s="112" t="s">
        <v>834</v>
      </c>
    </row>
    <row r="205" spans="1:5" s="395" customFormat="1" ht="15">
      <c r="A205" s="394"/>
      <c r="B205" s="417" t="s">
        <v>18</v>
      </c>
      <c r="C205" s="415" t="s">
        <v>222</v>
      </c>
      <c r="D205" s="595">
        <v>1000</v>
      </c>
      <c r="E205" s="112"/>
    </row>
    <row r="206" spans="1:5" s="395" customFormat="1" ht="15">
      <c r="A206" s="394"/>
      <c r="B206" s="417" t="s">
        <v>19</v>
      </c>
      <c r="C206" s="415" t="s">
        <v>7</v>
      </c>
      <c r="D206" s="595">
        <v>3000</v>
      </c>
      <c r="E206" s="112"/>
    </row>
    <row r="207" spans="1:8" s="395" customFormat="1" ht="15">
      <c r="A207" s="394"/>
      <c r="B207" s="417" t="s">
        <v>213</v>
      </c>
      <c r="C207" s="398" t="s">
        <v>203</v>
      </c>
      <c r="D207" s="435">
        <f>-4663-164</f>
        <v>-4827</v>
      </c>
      <c r="E207" s="188"/>
      <c r="G207" s="90"/>
      <c r="H207" s="495"/>
    </row>
    <row r="208" spans="1:5" s="395" customFormat="1" ht="15">
      <c r="A208" s="394"/>
      <c r="B208" s="417" t="s">
        <v>215</v>
      </c>
      <c r="C208" s="415" t="s">
        <v>345</v>
      </c>
      <c r="D208" s="38">
        <v>1248</v>
      </c>
      <c r="E208" s="188"/>
    </row>
    <row r="209" spans="1:5" s="395" customFormat="1" ht="15">
      <c r="A209" s="394"/>
      <c r="B209" s="417" t="s">
        <v>214</v>
      </c>
      <c r="C209" s="130" t="s">
        <v>208</v>
      </c>
      <c r="D209" s="38">
        <f>3415+164</f>
        <v>3579</v>
      </c>
      <c r="E209" s="188"/>
    </row>
    <row r="210" spans="1:5" s="395" customFormat="1" ht="15">
      <c r="A210" s="391" t="s">
        <v>682</v>
      </c>
      <c r="B210" s="402" t="s">
        <v>683</v>
      </c>
      <c r="C210" s="130"/>
      <c r="D210" s="381">
        <f>SUM(D211:D214)</f>
        <v>5000</v>
      </c>
      <c r="E210" s="112" t="s">
        <v>834</v>
      </c>
    </row>
    <row r="211" spans="1:5" s="395" customFormat="1" ht="15">
      <c r="A211" s="391"/>
      <c r="B211" s="417" t="s">
        <v>18</v>
      </c>
      <c r="C211" s="415" t="s">
        <v>222</v>
      </c>
      <c r="D211" s="38">
        <v>5000</v>
      </c>
      <c r="E211" s="112"/>
    </row>
    <row r="212" spans="1:5" s="395" customFormat="1" ht="15">
      <c r="A212" s="391"/>
      <c r="B212" s="417" t="s">
        <v>213</v>
      </c>
      <c r="C212" s="398" t="s">
        <v>203</v>
      </c>
      <c r="D212" s="38">
        <f>100-101</f>
        <v>-1</v>
      </c>
      <c r="E212" s="188"/>
    </row>
    <row r="213" spans="1:5" s="395" customFormat="1" ht="15">
      <c r="A213" s="391"/>
      <c r="B213" s="417" t="s">
        <v>215</v>
      </c>
      <c r="C213" s="415" t="s">
        <v>345</v>
      </c>
      <c r="D213" s="38">
        <f>-1050+101</f>
        <v>-949</v>
      </c>
      <c r="E213" s="188"/>
    </row>
    <row r="214" spans="1:5" s="395" customFormat="1" ht="15">
      <c r="A214" s="391"/>
      <c r="B214" s="417" t="s">
        <v>214</v>
      </c>
      <c r="C214" s="130" t="s">
        <v>208</v>
      </c>
      <c r="D214" s="38">
        <v>950</v>
      </c>
      <c r="E214" s="188"/>
    </row>
    <row r="215" spans="1:5" s="395" customFormat="1" ht="15">
      <c r="A215" s="394" t="s">
        <v>186</v>
      </c>
      <c r="B215" s="402" t="s">
        <v>294</v>
      </c>
      <c r="C215" s="130"/>
      <c r="D215" s="381">
        <f>SUM(D216:D218)</f>
        <v>0</v>
      </c>
      <c r="E215" s="112" t="s">
        <v>21</v>
      </c>
    </row>
    <row r="216" spans="1:5" s="395" customFormat="1" ht="15">
      <c r="A216" s="394"/>
      <c r="B216" s="417" t="s">
        <v>213</v>
      </c>
      <c r="C216" s="398" t="s">
        <v>203</v>
      </c>
      <c r="D216" s="38">
        <v>1500</v>
      </c>
      <c r="E216" s="188"/>
    </row>
    <row r="217" spans="1:5" s="395" customFormat="1" ht="15">
      <c r="A217" s="394"/>
      <c r="B217" s="417" t="s">
        <v>215</v>
      </c>
      <c r="C217" s="415" t="s">
        <v>345</v>
      </c>
      <c r="D217" s="38">
        <v>-500</v>
      </c>
      <c r="E217" s="188"/>
    </row>
    <row r="218" spans="1:5" s="395" customFormat="1" ht="15">
      <c r="A218" s="394"/>
      <c r="B218" s="417" t="s">
        <v>214</v>
      </c>
      <c r="C218" s="130" t="s">
        <v>208</v>
      </c>
      <c r="D218" s="38">
        <v>-1000</v>
      </c>
      <c r="E218" s="188"/>
    </row>
    <row r="219" spans="1:5" s="395" customFormat="1" ht="15">
      <c r="A219" s="449" t="s">
        <v>239</v>
      </c>
      <c r="B219" s="402" t="s">
        <v>715</v>
      </c>
      <c r="C219" s="415"/>
      <c r="D219" s="381">
        <f>SUM(D220:D224)</f>
        <v>8500</v>
      </c>
      <c r="E219" s="112" t="s">
        <v>834</v>
      </c>
    </row>
    <row r="220" spans="1:5" s="395" customFormat="1" ht="15">
      <c r="A220" s="449"/>
      <c r="B220" s="417" t="s">
        <v>18</v>
      </c>
      <c r="C220" s="415" t="s">
        <v>222</v>
      </c>
      <c r="D220" s="38">
        <v>-500</v>
      </c>
      <c r="E220" s="112"/>
    </row>
    <row r="221" spans="1:5" s="395" customFormat="1" ht="15">
      <c r="A221" s="449"/>
      <c r="B221" s="417" t="s">
        <v>19</v>
      </c>
      <c r="C221" s="415" t="s">
        <v>7</v>
      </c>
      <c r="D221" s="38">
        <f>8500+500</f>
        <v>9000</v>
      </c>
      <c r="E221" s="112"/>
    </row>
    <row r="222" spans="1:5" s="395" customFormat="1" ht="15">
      <c r="A222" s="449"/>
      <c r="B222" s="245" t="s">
        <v>213</v>
      </c>
      <c r="C222" s="130" t="s">
        <v>203</v>
      </c>
      <c r="D222" s="38">
        <v>1016</v>
      </c>
      <c r="E222" s="112"/>
    </row>
    <row r="223" spans="1:5" s="395" customFormat="1" ht="15">
      <c r="A223" s="449"/>
      <c r="B223" s="417" t="s">
        <v>215</v>
      </c>
      <c r="C223" s="415" t="s">
        <v>345</v>
      </c>
      <c r="D223" s="38">
        <v>-496</v>
      </c>
      <c r="E223" s="112"/>
    </row>
    <row r="224" spans="1:5" s="395" customFormat="1" ht="15">
      <c r="A224" s="447"/>
      <c r="B224" s="245" t="s">
        <v>214</v>
      </c>
      <c r="C224" s="130" t="s">
        <v>208</v>
      </c>
      <c r="D224" s="38">
        <v>-520</v>
      </c>
      <c r="E224" s="403"/>
    </row>
    <row r="225" spans="1:5" ht="15">
      <c r="A225" s="447" t="s">
        <v>145</v>
      </c>
      <c r="B225" s="431" t="s">
        <v>127</v>
      </c>
      <c r="C225" s="415"/>
      <c r="D225" s="448">
        <f>D226+D232+D240+D247</f>
        <v>20559</v>
      </c>
      <c r="E225" s="109"/>
    </row>
    <row r="226" spans="1:6" ht="15">
      <c r="A226" s="450" t="s">
        <v>129</v>
      </c>
      <c r="B226" s="431" t="s">
        <v>299</v>
      </c>
      <c r="C226" s="415"/>
      <c r="D226" s="381">
        <f>SUM(D227:D231)</f>
        <v>9077</v>
      </c>
      <c r="E226" s="112"/>
      <c r="F226" s="451"/>
    </row>
    <row r="227" spans="1:6" ht="15">
      <c r="A227" s="450"/>
      <c r="B227" s="417" t="s">
        <v>18</v>
      </c>
      <c r="C227" s="415" t="s">
        <v>222</v>
      </c>
      <c r="D227" s="38">
        <v>-1513</v>
      </c>
      <c r="E227" s="188"/>
      <c r="F227" s="451"/>
    </row>
    <row r="228" spans="1:6" ht="15">
      <c r="A228" s="450"/>
      <c r="B228" s="417" t="s">
        <v>212</v>
      </c>
      <c r="C228" s="410" t="s">
        <v>202</v>
      </c>
      <c r="D228" s="38">
        <v>168</v>
      </c>
      <c r="E228" s="188"/>
      <c r="F228" s="451"/>
    </row>
    <row r="229" spans="1:6" ht="15">
      <c r="A229" s="450"/>
      <c r="B229" s="417" t="s">
        <v>213</v>
      </c>
      <c r="C229" s="398" t="s">
        <v>203</v>
      </c>
      <c r="D229" s="38">
        <v>1679</v>
      </c>
      <c r="E229" s="112"/>
      <c r="F229" s="466"/>
    </row>
    <row r="230" spans="1:5" ht="15">
      <c r="A230" s="447"/>
      <c r="B230" s="245" t="s">
        <v>215</v>
      </c>
      <c r="C230" s="415" t="s">
        <v>345</v>
      </c>
      <c r="D230" s="38">
        <v>633</v>
      </c>
      <c r="E230" s="188"/>
    </row>
    <row r="231" spans="1:5" ht="30">
      <c r="A231" s="447"/>
      <c r="B231" s="245" t="s">
        <v>214</v>
      </c>
      <c r="C231" s="130" t="s">
        <v>208</v>
      </c>
      <c r="D231" s="38">
        <f>-967+9077</f>
        <v>8110</v>
      </c>
      <c r="E231" s="188" t="s">
        <v>785</v>
      </c>
    </row>
    <row r="232" spans="1:5" ht="15">
      <c r="A232" s="453" t="s">
        <v>690</v>
      </c>
      <c r="B232" s="246" t="s">
        <v>300</v>
      </c>
      <c r="C232" s="130"/>
      <c r="D232" s="381">
        <f>SUM(D233:D239)</f>
        <v>11482</v>
      </c>
      <c r="E232" s="112"/>
    </row>
    <row r="233" spans="1:5" ht="15">
      <c r="A233" s="453"/>
      <c r="B233" s="245" t="s">
        <v>18</v>
      </c>
      <c r="C233" s="130" t="s">
        <v>222</v>
      </c>
      <c r="D233" s="38">
        <f>-2000-3000</f>
        <v>-5000</v>
      </c>
      <c r="E233" s="109"/>
    </row>
    <row r="234" spans="1:5" ht="15">
      <c r="A234" s="453"/>
      <c r="B234" s="245" t="s">
        <v>19</v>
      </c>
      <c r="C234" s="130" t="s">
        <v>7</v>
      </c>
      <c r="D234" s="38">
        <v>2000</v>
      </c>
      <c r="E234" s="109"/>
    </row>
    <row r="235" spans="1:5" ht="15">
      <c r="A235" s="453"/>
      <c r="B235" s="245" t="s">
        <v>212</v>
      </c>
      <c r="C235" s="403" t="s">
        <v>202</v>
      </c>
      <c r="D235" s="460">
        <v>-200</v>
      </c>
      <c r="E235" s="109"/>
    </row>
    <row r="236" spans="1:5" ht="15">
      <c r="A236" s="449"/>
      <c r="B236" s="245" t="s">
        <v>213</v>
      </c>
      <c r="C236" s="130" t="s">
        <v>203</v>
      </c>
      <c r="D236" s="38">
        <f>2098+3000-206</f>
        <v>4892</v>
      </c>
      <c r="E236" s="187"/>
    </row>
    <row r="237" spans="1:5" ht="15">
      <c r="A237" s="449"/>
      <c r="B237" s="245" t="s">
        <v>215</v>
      </c>
      <c r="C237" s="130" t="s">
        <v>345</v>
      </c>
      <c r="D237" s="38">
        <f>-3363+206</f>
        <v>-3157</v>
      </c>
      <c r="E237" s="187"/>
    </row>
    <row r="238" spans="1:5" ht="15">
      <c r="A238" s="449"/>
      <c r="B238" s="245" t="s">
        <v>526</v>
      </c>
      <c r="C238" s="130" t="s">
        <v>156</v>
      </c>
      <c r="D238" s="38">
        <v>-950</v>
      </c>
      <c r="E238" s="187"/>
    </row>
    <row r="239" spans="1:5" ht="45">
      <c r="A239" s="449"/>
      <c r="B239" s="245" t="s">
        <v>214</v>
      </c>
      <c r="C239" s="130" t="s">
        <v>208</v>
      </c>
      <c r="D239" s="38">
        <f>4693+8482+722</f>
        <v>13897</v>
      </c>
      <c r="E239" s="187" t="s">
        <v>714</v>
      </c>
    </row>
    <row r="240" spans="1:5" ht="15">
      <c r="A240" s="450" t="s">
        <v>130</v>
      </c>
      <c r="B240" s="402" t="s">
        <v>302</v>
      </c>
      <c r="C240" s="415"/>
      <c r="D240" s="381">
        <f>SUM(D241:D246)</f>
        <v>0</v>
      </c>
      <c r="E240" s="109" t="s">
        <v>21</v>
      </c>
    </row>
    <row r="241" spans="1:5" ht="15">
      <c r="A241" s="450"/>
      <c r="B241" s="417" t="s">
        <v>18</v>
      </c>
      <c r="C241" s="415" t="s">
        <v>222</v>
      </c>
      <c r="D241" s="38">
        <v>-4000</v>
      </c>
      <c r="E241" s="188"/>
    </row>
    <row r="242" spans="1:5" ht="15">
      <c r="A242" s="450"/>
      <c r="B242" s="417" t="s">
        <v>19</v>
      </c>
      <c r="C242" s="415" t="s">
        <v>7</v>
      </c>
      <c r="D242" s="38">
        <v>4000</v>
      </c>
      <c r="E242" s="188"/>
    </row>
    <row r="243" spans="1:5" ht="15">
      <c r="A243" s="450"/>
      <c r="B243" s="417" t="s">
        <v>212</v>
      </c>
      <c r="C243" s="410" t="s">
        <v>202</v>
      </c>
      <c r="D243" s="460">
        <v>-150</v>
      </c>
      <c r="E243" s="188"/>
    </row>
    <row r="244" spans="1:5" ht="15">
      <c r="A244" s="450"/>
      <c r="B244" s="245" t="s">
        <v>213</v>
      </c>
      <c r="C244" s="130" t="s">
        <v>203</v>
      </c>
      <c r="D244" s="460">
        <v>2538</v>
      </c>
      <c r="E244" s="188"/>
    </row>
    <row r="245" spans="1:5" ht="15">
      <c r="A245" s="450"/>
      <c r="B245" s="417" t="s">
        <v>215</v>
      </c>
      <c r="C245" s="415" t="s">
        <v>345</v>
      </c>
      <c r="D245" s="460">
        <v>-4026</v>
      </c>
      <c r="E245" s="188"/>
    </row>
    <row r="246" spans="1:14" ht="15">
      <c r="A246" s="450"/>
      <c r="B246" s="417" t="s">
        <v>214</v>
      </c>
      <c r="C246" s="415" t="s">
        <v>208</v>
      </c>
      <c r="D246" s="38">
        <v>1638</v>
      </c>
      <c r="E246" s="188"/>
      <c r="F246" s="527"/>
      <c r="G246" s="467"/>
      <c r="H246" s="467"/>
      <c r="I246" s="467"/>
      <c r="J246" s="467"/>
      <c r="K246" s="467"/>
      <c r="L246" s="467"/>
      <c r="M246" s="467"/>
      <c r="N246" s="467"/>
    </row>
    <row r="247" spans="1:5" ht="15">
      <c r="A247" s="450" t="s">
        <v>131</v>
      </c>
      <c r="B247" s="402" t="s">
        <v>303</v>
      </c>
      <c r="C247" s="415"/>
      <c r="D247" s="54">
        <f>SUM(D248:D251)</f>
        <v>0</v>
      </c>
      <c r="E247" s="109" t="s">
        <v>21</v>
      </c>
    </row>
    <row r="248" spans="1:5" ht="15">
      <c r="A248" s="450"/>
      <c r="B248" s="417" t="s">
        <v>18</v>
      </c>
      <c r="C248" s="415" t="s">
        <v>222</v>
      </c>
      <c r="D248" s="38">
        <v>-3615</v>
      </c>
      <c r="E248" s="109"/>
    </row>
    <row r="249" spans="1:5" ht="15">
      <c r="A249" s="450"/>
      <c r="B249" s="417" t="s">
        <v>19</v>
      </c>
      <c r="C249" s="415" t="s">
        <v>7</v>
      </c>
      <c r="D249" s="38">
        <v>3615</v>
      </c>
      <c r="E249" s="109"/>
    </row>
    <row r="250" spans="1:5" ht="15">
      <c r="A250" s="450"/>
      <c r="B250" s="417" t="s">
        <v>213</v>
      </c>
      <c r="C250" s="398" t="s">
        <v>203</v>
      </c>
      <c r="D250" s="460">
        <v>-320</v>
      </c>
      <c r="E250" s="188"/>
    </row>
    <row r="251" spans="1:5" ht="15">
      <c r="A251" s="450"/>
      <c r="B251" s="245" t="s">
        <v>215</v>
      </c>
      <c r="C251" s="415" t="s">
        <v>345</v>
      </c>
      <c r="D251" s="460">
        <v>320</v>
      </c>
      <c r="E251" s="188"/>
    </row>
    <row r="252" spans="1:5" s="454" customFormat="1" ht="27.75" customHeight="1">
      <c r="A252" s="420" t="s">
        <v>133</v>
      </c>
      <c r="B252" s="402" t="s">
        <v>132</v>
      </c>
      <c r="C252" s="450"/>
      <c r="D252" s="452">
        <f>D253+D260+D264+D271+D274</f>
        <v>-32</v>
      </c>
      <c r="E252" s="453"/>
    </row>
    <row r="253" spans="1:5" s="455" customFormat="1" ht="15">
      <c r="A253" s="400" t="s">
        <v>17</v>
      </c>
      <c r="B253" s="246" t="s">
        <v>309</v>
      </c>
      <c r="C253" s="453"/>
      <c r="D253" s="380">
        <f>SUM(D254:D259)</f>
        <v>0</v>
      </c>
      <c r="E253" s="109" t="s">
        <v>21</v>
      </c>
    </row>
    <row r="254" spans="1:5" s="455" customFormat="1" ht="15">
      <c r="A254" s="400"/>
      <c r="B254" s="417" t="s">
        <v>18</v>
      </c>
      <c r="C254" s="415" t="s">
        <v>222</v>
      </c>
      <c r="D254" s="404">
        <v>-3455</v>
      </c>
      <c r="E254" s="112"/>
    </row>
    <row r="255" spans="1:8" s="454" customFormat="1" ht="15">
      <c r="A255" s="434"/>
      <c r="B255" s="417" t="s">
        <v>19</v>
      </c>
      <c r="C255" s="415" t="s">
        <v>7</v>
      </c>
      <c r="D255" s="404">
        <v>-145</v>
      </c>
      <c r="E255" s="112"/>
      <c r="F255" s="455"/>
      <c r="G255" s="455"/>
      <c r="H255" s="455"/>
    </row>
    <row r="256" spans="1:8" s="454" customFormat="1" ht="15">
      <c r="A256" s="434"/>
      <c r="B256" s="417" t="s">
        <v>212</v>
      </c>
      <c r="C256" s="410" t="s">
        <v>202</v>
      </c>
      <c r="D256" s="404">
        <v>1610</v>
      </c>
      <c r="E256" s="109"/>
      <c r="F256" s="455"/>
      <c r="G256" s="455"/>
      <c r="H256" s="455"/>
    </row>
    <row r="257" spans="1:8" s="454" customFormat="1" ht="15">
      <c r="A257" s="434"/>
      <c r="B257" s="245" t="s">
        <v>213</v>
      </c>
      <c r="C257" s="130" t="s">
        <v>203</v>
      </c>
      <c r="D257" s="404">
        <v>-1435</v>
      </c>
      <c r="E257" s="109"/>
      <c r="F257" s="455"/>
      <c r="G257" s="455"/>
      <c r="H257" s="455"/>
    </row>
    <row r="258" spans="1:8" s="454" customFormat="1" ht="15">
      <c r="A258" s="434"/>
      <c r="B258" s="245" t="s">
        <v>215</v>
      </c>
      <c r="C258" s="415" t="s">
        <v>345</v>
      </c>
      <c r="D258" s="404">
        <v>-5215</v>
      </c>
      <c r="E258" s="109"/>
      <c r="F258" s="455"/>
      <c r="G258" s="455"/>
      <c r="H258" s="455"/>
    </row>
    <row r="259" spans="1:8" s="454" customFormat="1" ht="15">
      <c r="A259" s="434"/>
      <c r="B259" s="245" t="s">
        <v>214</v>
      </c>
      <c r="C259" s="415" t="s">
        <v>208</v>
      </c>
      <c r="D259" s="404">
        <v>8640</v>
      </c>
      <c r="E259" s="109"/>
      <c r="F259" s="455"/>
      <c r="G259" s="455"/>
      <c r="H259" s="455"/>
    </row>
    <row r="260" spans="1:8" s="454" customFormat="1" ht="15">
      <c r="A260" s="434" t="s">
        <v>738</v>
      </c>
      <c r="B260" s="246" t="s">
        <v>310</v>
      </c>
      <c r="C260" s="415"/>
      <c r="D260" s="380">
        <f>SUM(D261:D263)</f>
        <v>0</v>
      </c>
      <c r="E260" s="109" t="s">
        <v>21</v>
      </c>
      <c r="F260" s="455"/>
      <c r="G260" s="455"/>
      <c r="H260" s="455"/>
    </row>
    <row r="261" spans="1:8" s="454" customFormat="1" ht="15">
      <c r="A261" s="434"/>
      <c r="B261" s="417" t="s">
        <v>212</v>
      </c>
      <c r="C261" s="410" t="s">
        <v>202</v>
      </c>
      <c r="D261" s="404">
        <v>-117</v>
      </c>
      <c r="E261" s="109"/>
      <c r="F261" s="455"/>
      <c r="G261" s="455"/>
      <c r="H261" s="455"/>
    </row>
    <row r="262" spans="1:8" s="454" customFormat="1" ht="15">
      <c r="A262" s="434"/>
      <c r="B262" s="245" t="s">
        <v>213</v>
      </c>
      <c r="C262" s="130" t="s">
        <v>203</v>
      </c>
      <c r="D262" s="404">
        <v>205</v>
      </c>
      <c r="E262" s="109"/>
      <c r="F262" s="455"/>
      <c r="G262" s="455"/>
      <c r="H262" s="455"/>
    </row>
    <row r="263" spans="1:8" s="454" customFormat="1" ht="15">
      <c r="A263" s="434"/>
      <c r="B263" s="245" t="s">
        <v>215</v>
      </c>
      <c r="C263" s="415" t="s">
        <v>345</v>
      </c>
      <c r="D263" s="404">
        <v>-88</v>
      </c>
      <c r="E263" s="109"/>
      <c r="F263" s="455"/>
      <c r="G263" s="455"/>
      <c r="H263" s="455"/>
    </row>
    <row r="264" spans="1:6" s="454" customFormat="1" ht="15">
      <c r="A264" s="434" t="s">
        <v>134</v>
      </c>
      <c r="B264" s="246" t="s">
        <v>311</v>
      </c>
      <c r="C264" s="415"/>
      <c r="D264" s="380">
        <f>SUM(D265:D270)</f>
        <v>0</v>
      </c>
      <c r="E264" s="109" t="s">
        <v>21</v>
      </c>
      <c r="F264" s="455"/>
    </row>
    <row r="265" spans="1:5" s="454" customFormat="1" ht="15">
      <c r="A265" s="434"/>
      <c r="B265" s="417" t="s">
        <v>18</v>
      </c>
      <c r="C265" s="415" t="s">
        <v>222</v>
      </c>
      <c r="D265" s="404">
        <f>-2000</f>
        <v>-2000</v>
      </c>
      <c r="E265" s="187"/>
    </row>
    <row r="266" spans="1:5" s="454" customFormat="1" ht="15">
      <c r="A266" s="434"/>
      <c r="B266" s="417" t="s">
        <v>19</v>
      </c>
      <c r="C266" s="415" t="s">
        <v>7</v>
      </c>
      <c r="D266" s="404">
        <f>2000</f>
        <v>2000</v>
      </c>
      <c r="E266" s="109"/>
    </row>
    <row r="267" spans="1:5" s="454" customFormat="1" ht="15">
      <c r="A267" s="434"/>
      <c r="B267" s="417" t="s">
        <v>212</v>
      </c>
      <c r="C267" s="410" t="s">
        <v>202</v>
      </c>
      <c r="D267" s="404">
        <f>-1130+281</f>
        <v>-849</v>
      </c>
      <c r="E267" s="109"/>
    </row>
    <row r="268" spans="1:9" s="454" customFormat="1" ht="15">
      <c r="A268" s="434"/>
      <c r="B268" s="245" t="s">
        <v>213</v>
      </c>
      <c r="C268" s="130" t="s">
        <v>203</v>
      </c>
      <c r="D268" s="404">
        <f>-23699-281</f>
        <v>-23980</v>
      </c>
      <c r="E268" s="109"/>
      <c r="G268" s="455"/>
      <c r="H268" s="455"/>
      <c r="I268" s="455"/>
    </row>
    <row r="269" spans="1:9" s="454" customFormat="1" ht="15">
      <c r="A269" s="434"/>
      <c r="B269" s="245" t="s">
        <v>215</v>
      </c>
      <c r="C269" s="415" t="s">
        <v>345</v>
      </c>
      <c r="D269" s="404">
        <v>650</v>
      </c>
      <c r="E269" s="109"/>
      <c r="G269" s="455"/>
      <c r="H269" s="455"/>
      <c r="I269" s="455"/>
    </row>
    <row r="270" spans="1:5" s="454" customFormat="1" ht="15">
      <c r="A270" s="434"/>
      <c r="B270" s="245" t="s">
        <v>214</v>
      </c>
      <c r="C270" s="415" t="s">
        <v>208</v>
      </c>
      <c r="D270" s="404">
        <v>24179</v>
      </c>
      <c r="E270" s="109"/>
    </row>
    <row r="271" spans="1:5" s="454" customFormat="1" ht="45">
      <c r="A271" s="400" t="s">
        <v>135</v>
      </c>
      <c r="B271" s="246" t="s">
        <v>312</v>
      </c>
      <c r="C271" s="415"/>
      <c r="D271" s="380">
        <f>SUM(D272:D273)</f>
        <v>-3</v>
      </c>
      <c r="E271" s="398" t="s">
        <v>713</v>
      </c>
    </row>
    <row r="272" spans="1:5" s="454" customFormat="1" ht="15">
      <c r="A272" s="434"/>
      <c r="B272" s="245" t="s">
        <v>213</v>
      </c>
      <c r="C272" s="130" t="s">
        <v>203</v>
      </c>
      <c r="D272" s="404">
        <v>-890</v>
      </c>
      <c r="E272" s="109"/>
    </row>
    <row r="273" spans="1:5" s="454" customFormat="1" ht="15">
      <c r="A273" s="434"/>
      <c r="B273" s="245" t="s">
        <v>215</v>
      </c>
      <c r="C273" s="415" t="s">
        <v>345</v>
      </c>
      <c r="D273" s="404">
        <f>-3+890</f>
        <v>887</v>
      </c>
      <c r="E273" s="109"/>
    </row>
    <row r="274" spans="1:5" s="454" customFormat="1" ht="30">
      <c r="A274" s="434" t="s">
        <v>136</v>
      </c>
      <c r="B274" s="246" t="s">
        <v>313</v>
      </c>
      <c r="C274" s="415"/>
      <c r="D274" s="380">
        <f>SUM(D275:D280)</f>
        <v>-29</v>
      </c>
      <c r="E274" s="48" t="s">
        <v>750</v>
      </c>
    </row>
    <row r="275" spans="1:5" s="454" customFormat="1" ht="15">
      <c r="A275" s="434"/>
      <c r="B275" s="417" t="s">
        <v>18</v>
      </c>
      <c r="C275" s="415" t="s">
        <v>222</v>
      </c>
      <c r="D275" s="404">
        <v>420</v>
      </c>
      <c r="E275" s="586"/>
    </row>
    <row r="276" spans="1:5" s="454" customFormat="1" ht="15">
      <c r="A276" s="434"/>
      <c r="B276" s="417" t="s">
        <v>212</v>
      </c>
      <c r="C276" s="410" t="s">
        <v>202</v>
      </c>
      <c r="D276" s="404">
        <v>-100</v>
      </c>
      <c r="E276" s="586"/>
    </row>
    <row r="277" spans="1:5" s="454" customFormat="1" ht="15">
      <c r="A277" s="434"/>
      <c r="B277" s="245" t="s">
        <v>213</v>
      </c>
      <c r="C277" s="130" t="s">
        <v>203</v>
      </c>
      <c r="D277" s="404">
        <f>-900-320</f>
        <v>-1220</v>
      </c>
      <c r="E277" s="109"/>
    </row>
    <row r="278" spans="1:5" s="454" customFormat="1" ht="15">
      <c r="A278" s="434"/>
      <c r="B278" s="245" t="s">
        <v>215</v>
      </c>
      <c r="C278" s="415" t="s">
        <v>345</v>
      </c>
      <c r="D278" s="404">
        <v>771</v>
      </c>
      <c r="E278" s="109"/>
    </row>
    <row r="279" spans="1:5" s="454" customFormat="1" ht="15">
      <c r="A279" s="434"/>
      <c r="B279" s="554" t="s">
        <v>526</v>
      </c>
      <c r="C279" s="415" t="s">
        <v>156</v>
      </c>
      <c r="D279" s="404">
        <v>280</v>
      </c>
      <c r="E279" s="109"/>
    </row>
    <row r="280" spans="1:5" s="454" customFormat="1" ht="15">
      <c r="A280" s="434"/>
      <c r="B280" s="554" t="s">
        <v>214</v>
      </c>
      <c r="C280" s="415" t="s">
        <v>208</v>
      </c>
      <c r="D280" s="404">
        <v>-180</v>
      </c>
      <c r="E280" s="109"/>
    </row>
    <row r="281" spans="1:5" s="454" customFormat="1" ht="43.5">
      <c r="A281" s="433" t="s">
        <v>397</v>
      </c>
      <c r="B281" s="456" t="s">
        <v>492</v>
      </c>
      <c r="C281" s="415"/>
      <c r="D281" s="380">
        <f>SUM(D282:D284)</f>
        <v>-7445</v>
      </c>
      <c r="E281" s="188"/>
    </row>
    <row r="282" spans="1:5" s="454" customFormat="1" ht="30">
      <c r="A282" s="433"/>
      <c r="B282" s="417" t="s">
        <v>18</v>
      </c>
      <c r="C282" s="415" t="s">
        <v>222</v>
      </c>
      <c r="D282" s="547">
        <v>-10561</v>
      </c>
      <c r="E282" s="188" t="s">
        <v>748</v>
      </c>
    </row>
    <row r="283" spans="1:5" s="454" customFormat="1" ht="30">
      <c r="A283" s="433"/>
      <c r="B283" s="417" t="s">
        <v>19</v>
      </c>
      <c r="C283" s="415" t="s">
        <v>7</v>
      </c>
      <c r="D283" s="547">
        <v>-2544</v>
      </c>
      <c r="E283" s="188" t="s">
        <v>749</v>
      </c>
    </row>
    <row r="284" spans="1:5" s="454" customFormat="1" ht="15">
      <c r="A284" s="433"/>
      <c r="B284" s="245" t="s">
        <v>213</v>
      </c>
      <c r="C284" s="130" t="s">
        <v>203</v>
      </c>
      <c r="D284" s="404">
        <f>4561+1099</f>
        <v>5660</v>
      </c>
      <c r="E284" s="61"/>
    </row>
    <row r="285" spans="1:5" s="455" customFormat="1" ht="29.25">
      <c r="A285" s="433" t="s">
        <v>344</v>
      </c>
      <c r="B285" s="246" t="s">
        <v>137</v>
      </c>
      <c r="C285" s="130"/>
      <c r="D285" s="55">
        <f>SUM(D286+D291+D295+D298+D301+D305+D309+D315+D317+D322+D325+D331+D334+D337+D340+D345+D350+D355)</f>
        <v>-2170242</v>
      </c>
      <c r="E285" s="188"/>
    </row>
    <row r="286" spans="1:7" s="455" customFormat="1" ht="30">
      <c r="A286" s="400" t="s">
        <v>524</v>
      </c>
      <c r="B286" s="402" t="s">
        <v>523</v>
      </c>
      <c r="C286" s="130"/>
      <c r="D286" s="380">
        <f>SUM(D287:D290)</f>
        <v>20000</v>
      </c>
      <c r="E286" s="188" t="s">
        <v>761</v>
      </c>
      <c r="F286" s="457"/>
      <c r="G286" s="457"/>
    </row>
    <row r="287" spans="1:7" s="455" customFormat="1" ht="15">
      <c r="A287" s="400"/>
      <c r="B287" s="417" t="s">
        <v>18</v>
      </c>
      <c r="C287" s="415" t="s">
        <v>222</v>
      </c>
      <c r="D287" s="547">
        <v>14000</v>
      </c>
      <c r="E287" s="109"/>
      <c r="F287" s="457"/>
      <c r="G287" s="457"/>
    </row>
    <row r="288" spans="1:5" s="455" customFormat="1" ht="15">
      <c r="A288" s="433"/>
      <c r="B288" s="417" t="s">
        <v>19</v>
      </c>
      <c r="C288" s="415" t="s">
        <v>7</v>
      </c>
      <c r="D288" s="404">
        <v>3380</v>
      </c>
      <c r="E288" s="188"/>
    </row>
    <row r="289" spans="1:5" s="455" customFormat="1" ht="15">
      <c r="A289" s="433"/>
      <c r="B289" s="245" t="s">
        <v>213</v>
      </c>
      <c r="C289" s="130" t="s">
        <v>203</v>
      </c>
      <c r="D289" s="404">
        <f>2620-139</f>
        <v>2481</v>
      </c>
      <c r="E289" s="188"/>
    </row>
    <row r="290" spans="1:5" s="455" customFormat="1" ht="15">
      <c r="A290" s="618"/>
      <c r="B290" s="245" t="s">
        <v>215</v>
      </c>
      <c r="C290" s="415" t="s">
        <v>345</v>
      </c>
      <c r="D290" s="404">
        <v>139</v>
      </c>
      <c r="E290" s="188"/>
    </row>
    <row r="291" spans="1:5" s="455" customFormat="1" ht="45">
      <c r="A291" s="418" t="s">
        <v>689</v>
      </c>
      <c r="B291" s="402" t="s">
        <v>688</v>
      </c>
      <c r="C291" s="415"/>
      <c r="D291" s="380">
        <f>SUM(D292:D294)</f>
        <v>0</v>
      </c>
      <c r="E291" s="112" t="s">
        <v>21</v>
      </c>
    </row>
    <row r="292" spans="1:5" s="455" customFormat="1" ht="15">
      <c r="A292" s="418"/>
      <c r="B292" s="417" t="s">
        <v>18</v>
      </c>
      <c r="C292" s="415" t="s">
        <v>222</v>
      </c>
      <c r="D292" s="404">
        <f>479+490</f>
        <v>969</v>
      </c>
      <c r="E292" s="112"/>
    </row>
    <row r="293" spans="1:5" s="455" customFormat="1" ht="15">
      <c r="A293" s="418"/>
      <c r="B293" s="417" t="s">
        <v>19</v>
      </c>
      <c r="C293" s="415" t="s">
        <v>7</v>
      </c>
      <c r="D293" s="404">
        <f>24+52</f>
        <v>76</v>
      </c>
      <c r="E293" s="112"/>
    </row>
    <row r="294" spans="1:5" s="455" customFormat="1" ht="15">
      <c r="A294" s="418"/>
      <c r="B294" s="245" t="s">
        <v>213</v>
      </c>
      <c r="C294" s="130" t="s">
        <v>203</v>
      </c>
      <c r="D294" s="404">
        <f>-503-542</f>
        <v>-1045</v>
      </c>
      <c r="E294" s="188"/>
    </row>
    <row r="295" spans="1:5" s="455" customFormat="1" ht="75">
      <c r="A295" s="401" t="s">
        <v>685</v>
      </c>
      <c r="B295" s="402" t="s">
        <v>684</v>
      </c>
      <c r="C295" s="415"/>
      <c r="D295" s="380">
        <f>SUM(D296:D297)</f>
        <v>3160</v>
      </c>
      <c r="E295" s="432" t="s">
        <v>762</v>
      </c>
    </row>
    <row r="296" spans="1:5" s="455" customFormat="1" ht="15">
      <c r="A296" s="522"/>
      <c r="B296" s="417" t="s">
        <v>212</v>
      </c>
      <c r="C296" s="410" t="s">
        <v>202</v>
      </c>
      <c r="D296" s="404">
        <v>3199</v>
      </c>
      <c r="E296" s="187"/>
    </row>
    <row r="297" spans="1:5" s="455" customFormat="1" ht="15">
      <c r="A297" s="522"/>
      <c r="B297" s="245" t="s">
        <v>215</v>
      </c>
      <c r="C297" s="415" t="s">
        <v>345</v>
      </c>
      <c r="D297" s="404">
        <v>-39</v>
      </c>
      <c r="E297" s="187"/>
    </row>
    <row r="298" spans="1:5" s="455" customFormat="1" ht="75">
      <c r="A298" s="401" t="s">
        <v>686</v>
      </c>
      <c r="B298" s="402" t="s">
        <v>687</v>
      </c>
      <c r="C298" s="415"/>
      <c r="D298" s="380">
        <f>SUM(D299:D300)</f>
        <v>2574</v>
      </c>
      <c r="E298" s="432" t="s">
        <v>762</v>
      </c>
    </row>
    <row r="299" spans="1:5" s="455" customFormat="1" ht="15">
      <c r="A299" s="522"/>
      <c r="B299" s="417" t="s">
        <v>212</v>
      </c>
      <c r="C299" s="410" t="s">
        <v>202</v>
      </c>
      <c r="D299" s="404">
        <f>2543+129</f>
        <v>2672</v>
      </c>
      <c r="E299" s="187"/>
    </row>
    <row r="300" spans="1:5" s="455" customFormat="1" ht="15">
      <c r="A300" s="522"/>
      <c r="B300" s="245" t="s">
        <v>215</v>
      </c>
      <c r="C300" s="415" t="s">
        <v>345</v>
      </c>
      <c r="D300" s="404">
        <f>31-129</f>
        <v>-98</v>
      </c>
      <c r="E300" s="187"/>
    </row>
    <row r="301" spans="1:5" s="455" customFormat="1" ht="105">
      <c r="A301" s="459" t="s">
        <v>722</v>
      </c>
      <c r="B301" s="402" t="s">
        <v>718</v>
      </c>
      <c r="C301" s="415"/>
      <c r="D301" s="380">
        <f>SUM(D302:D304)</f>
        <v>5000</v>
      </c>
      <c r="E301" s="187" t="s">
        <v>719</v>
      </c>
    </row>
    <row r="302" spans="1:5" s="455" customFormat="1" ht="15">
      <c r="A302" s="522"/>
      <c r="B302" s="417" t="s">
        <v>212</v>
      </c>
      <c r="C302" s="403" t="s">
        <v>202</v>
      </c>
      <c r="D302" s="404">
        <v>3400</v>
      </c>
      <c r="E302" s="187"/>
    </row>
    <row r="303" spans="1:5" s="455" customFormat="1" ht="15">
      <c r="A303" s="522"/>
      <c r="B303" s="245" t="s">
        <v>213</v>
      </c>
      <c r="C303" s="130" t="s">
        <v>203</v>
      </c>
      <c r="D303" s="404">
        <v>1500</v>
      </c>
      <c r="E303" s="187"/>
    </row>
    <row r="304" spans="1:5" s="455" customFormat="1" ht="15">
      <c r="A304" s="522"/>
      <c r="B304" s="245" t="s">
        <v>215</v>
      </c>
      <c r="C304" s="130" t="s">
        <v>345</v>
      </c>
      <c r="D304" s="404">
        <v>100</v>
      </c>
      <c r="E304" s="187"/>
    </row>
    <row r="305" spans="1:5" s="455" customFormat="1" ht="105">
      <c r="A305" s="459" t="s">
        <v>721</v>
      </c>
      <c r="B305" s="402" t="s">
        <v>716</v>
      </c>
      <c r="C305" s="415"/>
      <c r="D305" s="380">
        <f>SUM(D306:D308)</f>
        <v>4367</v>
      </c>
      <c r="E305" s="187" t="s">
        <v>717</v>
      </c>
    </row>
    <row r="306" spans="1:5" s="455" customFormat="1" ht="15">
      <c r="A306" s="569"/>
      <c r="B306" s="417" t="s">
        <v>212</v>
      </c>
      <c r="C306" s="403" t="s">
        <v>202</v>
      </c>
      <c r="D306" s="547">
        <v>2300</v>
      </c>
      <c r="E306" s="187"/>
    </row>
    <row r="307" spans="1:5" s="455" customFormat="1" ht="15">
      <c r="A307" s="569"/>
      <c r="B307" s="245" t="s">
        <v>213</v>
      </c>
      <c r="C307" s="130" t="s">
        <v>203</v>
      </c>
      <c r="D307" s="547">
        <v>1867</v>
      </c>
      <c r="E307" s="187"/>
    </row>
    <row r="308" spans="1:5" s="455" customFormat="1" ht="15">
      <c r="A308" s="522"/>
      <c r="B308" s="245" t="s">
        <v>215</v>
      </c>
      <c r="C308" s="130" t="s">
        <v>345</v>
      </c>
      <c r="D308" s="404">
        <v>200</v>
      </c>
      <c r="E308" s="187"/>
    </row>
    <row r="309" spans="1:5" s="455" customFormat="1" ht="45">
      <c r="A309" s="487" t="s">
        <v>400</v>
      </c>
      <c r="B309" s="402" t="s">
        <v>399</v>
      </c>
      <c r="C309" s="415"/>
      <c r="D309" s="380">
        <f>SUM(D310:D314)</f>
        <v>0</v>
      </c>
      <c r="E309" s="109" t="s">
        <v>21</v>
      </c>
    </row>
    <row r="310" spans="1:5" s="455" customFormat="1" ht="15">
      <c r="A310" s="487"/>
      <c r="B310" s="417" t="s">
        <v>18</v>
      </c>
      <c r="C310" s="415" t="s">
        <v>222</v>
      </c>
      <c r="D310" s="404">
        <v>140</v>
      </c>
      <c r="E310" s="109"/>
    </row>
    <row r="311" spans="1:5" s="455" customFormat="1" ht="15">
      <c r="A311" s="487"/>
      <c r="B311" s="417" t="s">
        <v>19</v>
      </c>
      <c r="C311" s="415" t="s">
        <v>7</v>
      </c>
      <c r="D311" s="404">
        <v>7</v>
      </c>
      <c r="E311" s="109"/>
    </row>
    <row r="312" spans="1:5" s="455" customFormat="1" ht="15">
      <c r="A312" s="487"/>
      <c r="B312" s="417" t="s">
        <v>212</v>
      </c>
      <c r="C312" s="410" t="s">
        <v>202</v>
      </c>
      <c r="D312" s="404">
        <v>-147</v>
      </c>
      <c r="E312" s="187"/>
    </row>
    <row r="313" spans="1:5" s="455" customFormat="1" ht="15">
      <c r="A313" s="574"/>
      <c r="B313" s="245" t="s">
        <v>213</v>
      </c>
      <c r="C313" s="130" t="s">
        <v>203</v>
      </c>
      <c r="D313" s="404">
        <v>-31</v>
      </c>
      <c r="E313" s="187"/>
    </row>
    <row r="314" spans="1:5" s="455" customFormat="1" ht="15">
      <c r="A314" s="418"/>
      <c r="B314" s="245" t="s">
        <v>215</v>
      </c>
      <c r="C314" s="415" t="s">
        <v>345</v>
      </c>
      <c r="D314" s="404">
        <v>31</v>
      </c>
      <c r="E314" s="187"/>
    </row>
    <row r="315" spans="1:5" s="455" customFormat="1" ht="45">
      <c r="A315" s="401" t="s">
        <v>402</v>
      </c>
      <c r="B315" s="246" t="s">
        <v>401</v>
      </c>
      <c r="C315" s="130"/>
      <c r="D315" s="380">
        <f>SUM(D316:D316)</f>
        <v>-2200000</v>
      </c>
      <c r="E315" s="109" t="s">
        <v>817</v>
      </c>
    </row>
    <row r="316" spans="1:5" s="455" customFormat="1" ht="15">
      <c r="A316" s="418"/>
      <c r="B316" s="245" t="s">
        <v>214</v>
      </c>
      <c r="C316" s="425" t="s">
        <v>240</v>
      </c>
      <c r="D316" s="404">
        <v>-2200000</v>
      </c>
      <c r="E316" s="188"/>
    </row>
    <row r="317" spans="1:5" s="454" customFormat="1" ht="75">
      <c r="A317" s="423" t="s">
        <v>425</v>
      </c>
      <c r="B317" s="402" t="s">
        <v>426</v>
      </c>
      <c r="C317" s="130"/>
      <c r="D317" s="381">
        <f>SUM(D318:D321)</f>
        <v>0</v>
      </c>
      <c r="E317" s="109" t="s">
        <v>21</v>
      </c>
    </row>
    <row r="318" spans="1:5" s="454" customFormat="1" ht="15">
      <c r="A318" s="423"/>
      <c r="B318" s="417" t="s">
        <v>18</v>
      </c>
      <c r="C318" s="415" t="s">
        <v>222</v>
      </c>
      <c r="D318" s="38">
        <f>-1291-363+198</f>
        <v>-1456</v>
      </c>
      <c r="E318" s="109"/>
    </row>
    <row r="319" spans="1:5" s="454" customFormat="1" ht="15">
      <c r="A319" s="423"/>
      <c r="B319" s="417" t="s">
        <v>19</v>
      </c>
      <c r="C319" s="415" t="s">
        <v>7</v>
      </c>
      <c r="D319" s="38">
        <f>-538-198</f>
        <v>-736</v>
      </c>
      <c r="E319" s="109"/>
    </row>
    <row r="320" spans="1:5" s="454" customFormat="1" ht="15">
      <c r="A320" s="423"/>
      <c r="B320" s="245" t="s">
        <v>213</v>
      </c>
      <c r="C320" s="130" t="s">
        <v>203</v>
      </c>
      <c r="D320" s="38">
        <f>2379+363</f>
        <v>2742</v>
      </c>
      <c r="E320" s="403"/>
    </row>
    <row r="321" spans="1:5" s="454" customFormat="1" ht="13.5" customHeight="1">
      <c r="A321" s="423"/>
      <c r="B321" s="417" t="s">
        <v>215</v>
      </c>
      <c r="C321" s="415" t="s">
        <v>345</v>
      </c>
      <c r="D321" s="38">
        <v>-550</v>
      </c>
      <c r="E321" s="403"/>
    </row>
    <row r="322" spans="1:5" s="454" customFormat="1" ht="75">
      <c r="A322" s="401" t="s">
        <v>536</v>
      </c>
      <c r="B322" s="382" t="s">
        <v>535</v>
      </c>
      <c r="C322" s="415"/>
      <c r="D322" s="553">
        <f>SUM(D323:D324)</f>
        <v>-11402</v>
      </c>
      <c r="E322" s="598"/>
    </row>
    <row r="323" spans="1:5" s="454" customFormat="1" ht="13.5" customHeight="1">
      <c r="A323" s="423"/>
      <c r="B323" s="245" t="s">
        <v>213</v>
      </c>
      <c r="C323" s="130" t="s">
        <v>203</v>
      </c>
      <c r="D323" s="595">
        <v>5899</v>
      </c>
      <c r="E323" s="597"/>
    </row>
    <row r="324" spans="1:5" s="454" customFormat="1" ht="75">
      <c r="A324" s="423"/>
      <c r="B324" s="417" t="s">
        <v>214</v>
      </c>
      <c r="C324" s="425" t="s">
        <v>240</v>
      </c>
      <c r="D324" s="595">
        <f>-5899-1800-9602</f>
        <v>-17301</v>
      </c>
      <c r="E324" s="596" t="s">
        <v>819</v>
      </c>
    </row>
    <row r="325" spans="1:5" s="454" customFormat="1" ht="90">
      <c r="A325" s="401" t="s">
        <v>541</v>
      </c>
      <c r="B325" s="382" t="s">
        <v>537</v>
      </c>
      <c r="C325" s="425"/>
      <c r="D325" s="381">
        <f>SUM(D326:D330)</f>
        <v>0</v>
      </c>
      <c r="E325" s="112" t="s">
        <v>808</v>
      </c>
    </row>
    <row r="326" spans="1:5" s="454" customFormat="1" ht="15">
      <c r="A326" s="423"/>
      <c r="B326" s="417" t="s">
        <v>18</v>
      </c>
      <c r="C326" s="415" t="s">
        <v>222</v>
      </c>
      <c r="D326" s="38">
        <v>-1001</v>
      </c>
      <c r="E326" s="112"/>
    </row>
    <row r="327" spans="1:5" s="454" customFormat="1" ht="15">
      <c r="A327" s="423"/>
      <c r="B327" s="417" t="s">
        <v>19</v>
      </c>
      <c r="C327" s="415" t="s">
        <v>7</v>
      </c>
      <c r="D327" s="38">
        <v>-232</v>
      </c>
      <c r="E327" s="112"/>
    </row>
    <row r="328" spans="1:5" s="454" customFormat="1" ht="15">
      <c r="A328" s="423"/>
      <c r="B328" s="417" t="s">
        <v>212</v>
      </c>
      <c r="C328" s="410" t="s">
        <v>202</v>
      </c>
      <c r="D328" s="38">
        <f>691+392</f>
        <v>1083</v>
      </c>
      <c r="E328" s="112"/>
    </row>
    <row r="329" spans="1:5" s="454" customFormat="1" ht="15">
      <c r="A329" s="423"/>
      <c r="B329" s="245" t="s">
        <v>213</v>
      </c>
      <c r="C329" s="130" t="s">
        <v>203</v>
      </c>
      <c r="D329" s="38">
        <v>70</v>
      </c>
      <c r="E329" s="112"/>
    </row>
    <row r="330" spans="1:5" s="454" customFormat="1" ht="15">
      <c r="A330" s="423"/>
      <c r="B330" s="417" t="s">
        <v>215</v>
      </c>
      <c r="C330" s="415" t="s">
        <v>345</v>
      </c>
      <c r="D330" s="38">
        <v>80</v>
      </c>
      <c r="E330" s="112"/>
    </row>
    <row r="331" spans="1:5" s="454" customFormat="1" ht="75">
      <c r="A331" s="423" t="s">
        <v>542</v>
      </c>
      <c r="B331" s="568" t="s">
        <v>538</v>
      </c>
      <c r="C331" s="130"/>
      <c r="D331" s="545">
        <f>SUM(D332:D333)</f>
        <v>0</v>
      </c>
      <c r="E331" s="112" t="s">
        <v>21</v>
      </c>
    </row>
    <row r="332" spans="1:5" s="454" customFormat="1" ht="15">
      <c r="A332" s="423"/>
      <c r="B332" s="245" t="s">
        <v>212</v>
      </c>
      <c r="C332" s="403" t="s">
        <v>202</v>
      </c>
      <c r="D332" s="38">
        <f>769+1500</f>
        <v>2269</v>
      </c>
      <c r="E332" s="112"/>
    </row>
    <row r="333" spans="1:5" s="454" customFormat="1" ht="15">
      <c r="A333" s="423"/>
      <c r="B333" s="245" t="s">
        <v>213</v>
      </c>
      <c r="C333" s="130" t="s">
        <v>203</v>
      </c>
      <c r="D333" s="38">
        <f>-769-1500</f>
        <v>-2269</v>
      </c>
      <c r="E333" s="112"/>
    </row>
    <row r="334" spans="1:5" s="454" customFormat="1" ht="105">
      <c r="A334" s="570" t="s">
        <v>547</v>
      </c>
      <c r="B334" s="568" t="s">
        <v>548</v>
      </c>
      <c r="C334" s="425"/>
      <c r="D334" s="545">
        <f>SUM(D335:D336)</f>
        <v>6857</v>
      </c>
      <c r="E334" s="571" t="s">
        <v>770</v>
      </c>
    </row>
    <row r="335" spans="1:5" s="454" customFormat="1" ht="13.5" customHeight="1">
      <c r="A335" s="423"/>
      <c r="B335" s="417" t="s">
        <v>18</v>
      </c>
      <c r="C335" s="415" t="s">
        <v>222</v>
      </c>
      <c r="D335" s="38">
        <f>6000-474</f>
        <v>5526</v>
      </c>
      <c r="E335" s="403"/>
    </row>
    <row r="336" spans="1:5" s="454" customFormat="1" ht="13.5" customHeight="1">
      <c r="A336" s="423"/>
      <c r="B336" s="417" t="s">
        <v>19</v>
      </c>
      <c r="C336" s="415" t="s">
        <v>7</v>
      </c>
      <c r="D336" s="38">
        <f>1445-114</f>
        <v>1331</v>
      </c>
      <c r="E336" s="403"/>
    </row>
    <row r="337" spans="1:5" s="454" customFormat="1" ht="75">
      <c r="A337" s="567" t="s">
        <v>543</v>
      </c>
      <c r="B337" s="568" t="s">
        <v>544</v>
      </c>
      <c r="C337" s="415"/>
      <c r="D337" s="545">
        <f>SUM(D338:D339)</f>
        <v>1500</v>
      </c>
      <c r="E337" s="443" t="s">
        <v>762</v>
      </c>
    </row>
    <row r="338" spans="1:5" s="454" customFormat="1" ht="13.5" customHeight="1">
      <c r="A338" s="423"/>
      <c r="B338" s="417" t="s">
        <v>212</v>
      </c>
      <c r="C338" s="410" t="s">
        <v>202</v>
      </c>
      <c r="D338" s="38">
        <v>500</v>
      </c>
      <c r="E338" s="403"/>
    </row>
    <row r="339" spans="1:5" s="454" customFormat="1" ht="13.5" customHeight="1">
      <c r="A339" s="423"/>
      <c r="B339" s="245" t="s">
        <v>213</v>
      </c>
      <c r="C339" s="130" t="s">
        <v>203</v>
      </c>
      <c r="D339" s="38">
        <v>1000</v>
      </c>
      <c r="E339" s="403"/>
    </row>
    <row r="340" spans="1:5" s="454" customFormat="1" ht="60">
      <c r="A340" s="567" t="s">
        <v>763</v>
      </c>
      <c r="B340" s="551" t="s">
        <v>553</v>
      </c>
      <c r="C340" s="415"/>
      <c r="D340" s="545">
        <f>SUM(D341:D344)</f>
        <v>3582</v>
      </c>
      <c r="E340" s="443" t="s">
        <v>762</v>
      </c>
    </row>
    <row r="341" spans="1:5" s="454" customFormat="1" ht="13.5" customHeight="1">
      <c r="A341" s="423"/>
      <c r="B341" s="417" t="s">
        <v>18</v>
      </c>
      <c r="C341" s="415" t="s">
        <v>222</v>
      </c>
      <c r="D341" s="38">
        <v>2000</v>
      </c>
      <c r="E341" s="403"/>
    </row>
    <row r="342" spans="1:5" s="454" customFormat="1" ht="13.5" customHeight="1">
      <c r="A342" s="423"/>
      <c r="B342" s="417" t="s">
        <v>19</v>
      </c>
      <c r="C342" s="415" t="s">
        <v>7</v>
      </c>
      <c r="D342" s="38">
        <v>482</v>
      </c>
      <c r="E342" s="403"/>
    </row>
    <row r="343" spans="1:5" s="454" customFormat="1" ht="13.5" customHeight="1">
      <c r="A343" s="423"/>
      <c r="B343" s="417" t="s">
        <v>212</v>
      </c>
      <c r="C343" s="410" t="s">
        <v>202</v>
      </c>
      <c r="D343" s="38">
        <v>600</v>
      </c>
      <c r="E343" s="403"/>
    </row>
    <row r="344" spans="1:5" s="454" customFormat="1" ht="13.5" customHeight="1">
      <c r="A344" s="423"/>
      <c r="B344" s="245" t="s">
        <v>213</v>
      </c>
      <c r="C344" s="130" t="s">
        <v>203</v>
      </c>
      <c r="D344" s="38">
        <v>500</v>
      </c>
      <c r="E344" s="403"/>
    </row>
    <row r="345" spans="1:5" s="454" customFormat="1" ht="90">
      <c r="A345" s="401" t="s">
        <v>632</v>
      </c>
      <c r="B345" s="551" t="s">
        <v>631</v>
      </c>
      <c r="C345" s="130"/>
      <c r="D345" s="381">
        <f>SUM(D346:D349)</f>
        <v>-4121</v>
      </c>
      <c r="E345" s="112" t="s">
        <v>808</v>
      </c>
    </row>
    <row r="346" spans="1:5" s="454" customFormat="1" ht="13.5" customHeight="1">
      <c r="A346" s="423"/>
      <c r="B346" s="417" t="s">
        <v>18</v>
      </c>
      <c r="C346" s="415" t="s">
        <v>222</v>
      </c>
      <c r="D346" s="38">
        <v>-2767</v>
      </c>
      <c r="E346" s="403"/>
    </row>
    <row r="347" spans="1:5" s="454" customFormat="1" ht="13.5" customHeight="1">
      <c r="A347" s="423"/>
      <c r="B347" s="417" t="s">
        <v>19</v>
      </c>
      <c r="C347" s="415" t="s">
        <v>7</v>
      </c>
      <c r="D347" s="38">
        <v>-653</v>
      </c>
      <c r="E347" s="403"/>
    </row>
    <row r="348" spans="1:5" s="454" customFormat="1" ht="13.5" customHeight="1">
      <c r="A348" s="423"/>
      <c r="B348" s="245" t="s">
        <v>213</v>
      </c>
      <c r="C348" s="130" t="s">
        <v>203</v>
      </c>
      <c r="D348" s="38">
        <v>-300</v>
      </c>
      <c r="E348" s="403"/>
    </row>
    <row r="349" spans="1:5" s="454" customFormat="1" ht="13.5" customHeight="1">
      <c r="A349" s="423"/>
      <c r="B349" s="417" t="s">
        <v>215</v>
      </c>
      <c r="C349" s="415" t="s">
        <v>345</v>
      </c>
      <c r="D349" s="38">
        <v>-401</v>
      </c>
      <c r="E349" s="403"/>
    </row>
    <row r="350" spans="1:5" s="454" customFormat="1" ht="90">
      <c r="A350" s="401" t="s">
        <v>651</v>
      </c>
      <c r="B350" s="551" t="s">
        <v>649</v>
      </c>
      <c r="C350" s="415"/>
      <c r="D350" s="381">
        <f>SUM(D351:D354)</f>
        <v>-3046</v>
      </c>
      <c r="E350" s="112" t="s">
        <v>808</v>
      </c>
    </row>
    <row r="351" spans="1:5" s="454" customFormat="1" ht="13.5" customHeight="1">
      <c r="A351" s="423"/>
      <c r="B351" s="417" t="s">
        <v>18</v>
      </c>
      <c r="C351" s="415" t="s">
        <v>222</v>
      </c>
      <c r="D351" s="38">
        <v>-24</v>
      </c>
      <c r="E351" s="403"/>
    </row>
    <row r="352" spans="1:5" s="454" customFormat="1" ht="13.5" customHeight="1">
      <c r="A352" s="423"/>
      <c r="B352" s="417" t="s">
        <v>19</v>
      </c>
      <c r="C352" s="415" t="s">
        <v>7</v>
      </c>
      <c r="D352" s="38">
        <v>-93</v>
      </c>
      <c r="E352" s="403"/>
    </row>
    <row r="353" spans="1:5" s="454" customFormat="1" ht="13.5" customHeight="1">
      <c r="A353" s="423"/>
      <c r="B353" s="417" t="s">
        <v>212</v>
      </c>
      <c r="C353" s="410" t="s">
        <v>202</v>
      </c>
      <c r="D353" s="38">
        <v>-2134</v>
      </c>
      <c r="E353" s="403"/>
    </row>
    <row r="354" spans="1:5" s="454" customFormat="1" ht="13.5" customHeight="1">
      <c r="A354" s="423"/>
      <c r="B354" s="245" t="s">
        <v>213</v>
      </c>
      <c r="C354" s="130" t="s">
        <v>203</v>
      </c>
      <c r="D354" s="38">
        <v>-795</v>
      </c>
      <c r="E354" s="403"/>
    </row>
    <row r="355" spans="1:5" s="454" customFormat="1" ht="75">
      <c r="A355" s="567" t="s">
        <v>764</v>
      </c>
      <c r="B355" s="551" t="s">
        <v>765</v>
      </c>
      <c r="C355" s="415"/>
      <c r="D355" s="545">
        <f>D356</f>
        <v>1287</v>
      </c>
      <c r="E355" s="188" t="s">
        <v>774</v>
      </c>
    </row>
    <row r="356" spans="1:5" s="454" customFormat="1" ht="13.5" customHeight="1">
      <c r="A356" s="423"/>
      <c r="B356" s="417" t="s">
        <v>212</v>
      </c>
      <c r="C356" s="410" t="s">
        <v>202</v>
      </c>
      <c r="D356" s="38">
        <v>1287</v>
      </c>
      <c r="E356" s="403"/>
    </row>
    <row r="357" spans="1:8" ht="15">
      <c r="A357" s="445" t="s">
        <v>138</v>
      </c>
      <c r="B357" s="429" t="s">
        <v>16</v>
      </c>
      <c r="C357" s="142" t="s">
        <v>138</v>
      </c>
      <c r="D357" s="422">
        <f>SUM(D358+D361+D368+D372+D376+D377,D380,D386,D390,D394)</f>
        <v>-786214</v>
      </c>
      <c r="E357" s="130"/>
      <c r="F357" s="396"/>
      <c r="G357" s="396"/>
      <c r="H357" s="458"/>
    </row>
    <row r="358" spans="1:5" ht="30">
      <c r="A358" s="400" t="s">
        <v>235</v>
      </c>
      <c r="B358" s="402" t="s">
        <v>557</v>
      </c>
      <c r="C358" s="398"/>
      <c r="D358" s="381">
        <f>SUM(D359:D360)</f>
        <v>0</v>
      </c>
      <c r="E358" s="398" t="s">
        <v>21</v>
      </c>
    </row>
    <row r="359" spans="1:5" ht="15">
      <c r="A359" s="459"/>
      <c r="B359" s="417" t="s">
        <v>213</v>
      </c>
      <c r="C359" s="415" t="s">
        <v>203</v>
      </c>
      <c r="D359" s="460">
        <v>0</v>
      </c>
      <c r="E359" s="398"/>
    </row>
    <row r="360" spans="1:5" ht="15">
      <c r="A360" s="459"/>
      <c r="B360" s="417" t="s">
        <v>215</v>
      </c>
      <c r="C360" s="415" t="s">
        <v>345</v>
      </c>
      <c r="D360" s="460">
        <v>0</v>
      </c>
      <c r="E360" s="398"/>
    </row>
    <row r="361" spans="1:5" ht="15">
      <c r="A361" s="400" t="s">
        <v>143</v>
      </c>
      <c r="B361" s="402" t="s">
        <v>318</v>
      </c>
      <c r="C361" s="398"/>
      <c r="D361" s="545">
        <f>SUM(D362:D367)</f>
        <v>0</v>
      </c>
      <c r="E361" s="398" t="s">
        <v>21</v>
      </c>
    </row>
    <row r="362" spans="1:5" ht="15">
      <c r="A362" s="400"/>
      <c r="B362" s="417" t="s">
        <v>18</v>
      </c>
      <c r="C362" s="415" t="s">
        <v>222</v>
      </c>
      <c r="D362" s="38">
        <v>-5000</v>
      </c>
      <c r="E362" s="398"/>
    </row>
    <row r="363" spans="1:5" ht="15">
      <c r="A363" s="400"/>
      <c r="B363" s="417" t="s">
        <v>19</v>
      </c>
      <c r="C363" s="415" t="s">
        <v>7</v>
      </c>
      <c r="D363" s="38">
        <v>5000</v>
      </c>
      <c r="E363" s="398"/>
    </row>
    <row r="364" spans="1:5" ht="15">
      <c r="A364" s="400"/>
      <c r="B364" s="417" t="s">
        <v>212</v>
      </c>
      <c r="C364" s="410" t="s">
        <v>202</v>
      </c>
      <c r="D364" s="460">
        <v>200</v>
      </c>
      <c r="E364" s="398"/>
    </row>
    <row r="365" spans="1:5" ht="15.75" customHeight="1">
      <c r="A365" s="400"/>
      <c r="B365" s="417" t="s">
        <v>213</v>
      </c>
      <c r="C365" s="415" t="s">
        <v>203</v>
      </c>
      <c r="D365" s="460">
        <v>-200</v>
      </c>
      <c r="E365" s="398"/>
    </row>
    <row r="366" spans="1:5" ht="15.75" customHeight="1">
      <c r="A366" s="400"/>
      <c r="B366" s="417" t="s">
        <v>215</v>
      </c>
      <c r="C366" s="415" t="s">
        <v>345</v>
      </c>
      <c r="D366" s="460">
        <v>-900</v>
      </c>
      <c r="E366" s="398" t="s">
        <v>733</v>
      </c>
    </row>
    <row r="367" spans="1:5" ht="15.75" customHeight="1">
      <c r="A367" s="400"/>
      <c r="B367" s="417" t="s">
        <v>214</v>
      </c>
      <c r="C367" s="442" t="s">
        <v>208</v>
      </c>
      <c r="D367" s="460">
        <v>900</v>
      </c>
      <c r="E367" s="398"/>
    </row>
    <row r="368" spans="1:5" ht="31.5">
      <c r="A368" s="400" t="s">
        <v>743</v>
      </c>
      <c r="B368" s="402" t="s">
        <v>319</v>
      </c>
      <c r="C368" s="442"/>
      <c r="D368" s="545">
        <f>SUM(D369:D371)</f>
        <v>-27</v>
      </c>
      <c r="E368" s="572" t="s">
        <v>771</v>
      </c>
    </row>
    <row r="369" spans="1:5" ht="15.75" customHeight="1">
      <c r="A369" s="400"/>
      <c r="B369" s="417" t="s">
        <v>362</v>
      </c>
      <c r="C369" s="442" t="s">
        <v>746</v>
      </c>
      <c r="D369" s="460">
        <f>-26040-27</f>
        <v>-26067</v>
      </c>
      <c r="E369" s="398"/>
    </row>
    <row r="370" spans="1:5" ht="15.75" customHeight="1">
      <c r="A370" s="400"/>
      <c r="B370" s="417" t="s">
        <v>744</v>
      </c>
      <c r="C370" s="442" t="s">
        <v>210</v>
      </c>
      <c r="D370" s="460">
        <v>2810</v>
      </c>
      <c r="E370" s="398"/>
    </row>
    <row r="371" spans="1:5" ht="15.75" customHeight="1">
      <c r="A371" s="400"/>
      <c r="B371" s="417" t="s">
        <v>745</v>
      </c>
      <c r="C371" s="442" t="s">
        <v>747</v>
      </c>
      <c r="D371" s="460">
        <v>23230</v>
      </c>
      <c r="E371" s="398"/>
    </row>
    <row r="372" spans="1:5" ht="30">
      <c r="A372" s="400" t="s">
        <v>741</v>
      </c>
      <c r="B372" s="402" t="s">
        <v>455</v>
      </c>
      <c r="C372" s="442"/>
      <c r="D372" s="553">
        <f>SUM(D373:D375)</f>
        <v>13300</v>
      </c>
      <c r="E372" s="398" t="s">
        <v>742</v>
      </c>
    </row>
    <row r="373" spans="1:5" ht="15.75" customHeight="1">
      <c r="A373" s="400"/>
      <c r="B373" s="417" t="s">
        <v>18</v>
      </c>
      <c r="C373" s="415" t="s">
        <v>222</v>
      </c>
      <c r="D373" s="609">
        <v>7000</v>
      </c>
      <c r="E373" s="398"/>
    </row>
    <row r="374" spans="1:5" ht="15.75" customHeight="1">
      <c r="A374" s="400"/>
      <c r="B374" s="417" t="s">
        <v>19</v>
      </c>
      <c r="C374" s="415" t="s">
        <v>7</v>
      </c>
      <c r="D374" s="609">
        <v>5300</v>
      </c>
      <c r="E374" s="398"/>
    </row>
    <row r="375" spans="1:5" ht="15.75" customHeight="1">
      <c r="A375" s="400"/>
      <c r="B375" s="245" t="s">
        <v>213</v>
      </c>
      <c r="C375" s="130" t="s">
        <v>203</v>
      </c>
      <c r="D375" s="609">
        <v>1000</v>
      </c>
      <c r="E375" s="398"/>
    </row>
    <row r="376" spans="1:5" ht="45">
      <c r="A376" s="459" t="s">
        <v>142</v>
      </c>
      <c r="B376" s="402" t="s">
        <v>141</v>
      </c>
      <c r="C376" s="415" t="s">
        <v>663</v>
      </c>
      <c r="D376" s="546">
        <v>-4880</v>
      </c>
      <c r="E376" s="440" t="s">
        <v>681</v>
      </c>
    </row>
    <row r="377" spans="1:5" ht="45">
      <c r="A377" s="434" t="s">
        <v>491</v>
      </c>
      <c r="B377" s="402" t="s">
        <v>490</v>
      </c>
      <c r="C377" s="442"/>
      <c r="D377" s="381">
        <f>SUM(D378:D379)</f>
        <v>8000</v>
      </c>
      <c r="E377" s="398" t="s">
        <v>650</v>
      </c>
    </row>
    <row r="378" spans="1:14" ht="15">
      <c r="A378" s="450"/>
      <c r="B378" s="417" t="s">
        <v>213</v>
      </c>
      <c r="C378" s="415" t="s">
        <v>203</v>
      </c>
      <c r="D378" s="38">
        <v>7500</v>
      </c>
      <c r="E378" s="112"/>
      <c r="N378" s="466"/>
    </row>
    <row r="379" spans="1:5" ht="15">
      <c r="A379" s="450"/>
      <c r="B379" s="417" t="s">
        <v>215</v>
      </c>
      <c r="C379" s="415" t="s">
        <v>345</v>
      </c>
      <c r="D379" s="38">
        <v>500</v>
      </c>
      <c r="E379" s="112"/>
    </row>
    <row r="380" spans="1:5" ht="45">
      <c r="A380" s="550" t="s">
        <v>766</v>
      </c>
      <c r="B380" s="549" t="s">
        <v>657</v>
      </c>
      <c r="C380" s="415"/>
      <c r="D380" s="545">
        <f>SUM(D381:D385)</f>
        <v>8215</v>
      </c>
      <c r="E380" s="443" t="s">
        <v>762</v>
      </c>
    </row>
    <row r="381" spans="1:5" ht="15">
      <c r="A381" s="450"/>
      <c r="B381" s="417" t="s">
        <v>18</v>
      </c>
      <c r="C381" s="415" t="s">
        <v>222</v>
      </c>
      <c r="D381" s="38">
        <v>335</v>
      </c>
      <c r="E381" s="112"/>
    </row>
    <row r="382" spans="1:5" ht="15">
      <c r="A382" s="450"/>
      <c r="B382" s="417" t="s">
        <v>19</v>
      </c>
      <c r="C382" s="415" t="s">
        <v>7</v>
      </c>
      <c r="D382" s="38">
        <v>82</v>
      </c>
      <c r="E382" s="112"/>
    </row>
    <row r="383" spans="1:5" ht="15">
      <c r="A383" s="450"/>
      <c r="B383" s="417" t="s">
        <v>212</v>
      </c>
      <c r="C383" s="410" t="s">
        <v>202</v>
      </c>
      <c r="D383" s="38">
        <v>47</v>
      </c>
      <c r="E383" s="112"/>
    </row>
    <row r="384" spans="1:5" ht="15">
      <c r="A384" s="450"/>
      <c r="B384" s="417" t="s">
        <v>215</v>
      </c>
      <c r="C384" s="415" t="s">
        <v>345</v>
      </c>
      <c r="D384" s="38">
        <v>51</v>
      </c>
      <c r="E384" s="112"/>
    </row>
    <row r="385" spans="1:5" ht="15">
      <c r="A385" s="450"/>
      <c r="B385" s="417" t="s">
        <v>745</v>
      </c>
      <c r="C385" s="442" t="s">
        <v>747</v>
      </c>
      <c r="D385" s="38">
        <v>7700</v>
      </c>
      <c r="E385" s="112"/>
    </row>
    <row r="386" spans="1:5" ht="30">
      <c r="A386" s="550" t="s">
        <v>767</v>
      </c>
      <c r="B386" s="402" t="s">
        <v>727</v>
      </c>
      <c r="C386" s="415"/>
      <c r="D386" s="381">
        <f>SUM(D387:D389)</f>
        <v>2316</v>
      </c>
      <c r="E386" s="112" t="s">
        <v>809</v>
      </c>
    </row>
    <row r="387" spans="1:5" ht="15">
      <c r="A387" s="453"/>
      <c r="B387" s="417" t="s">
        <v>18</v>
      </c>
      <c r="C387" s="415" t="s">
        <v>222</v>
      </c>
      <c r="D387" s="460">
        <v>1785</v>
      </c>
      <c r="E387" s="112"/>
    </row>
    <row r="388" spans="1:5" ht="15">
      <c r="A388" s="453"/>
      <c r="B388" s="417" t="s">
        <v>19</v>
      </c>
      <c r="C388" s="415" t="s">
        <v>7</v>
      </c>
      <c r="D388" s="460">
        <v>431</v>
      </c>
      <c r="E388" s="112"/>
    </row>
    <row r="389" spans="1:5" ht="15">
      <c r="A389" s="450"/>
      <c r="B389" s="417" t="s">
        <v>212</v>
      </c>
      <c r="C389" s="410" t="s">
        <v>202</v>
      </c>
      <c r="D389" s="460">
        <v>100</v>
      </c>
      <c r="E389" s="112"/>
    </row>
    <row r="390" spans="1:18" ht="75">
      <c r="A390" s="459" t="s">
        <v>768</v>
      </c>
      <c r="B390" s="568" t="s">
        <v>422</v>
      </c>
      <c r="C390" s="398"/>
      <c r="D390" s="545">
        <f>SUM(D391:D393)</f>
        <v>6862</v>
      </c>
      <c r="E390" s="443" t="s">
        <v>762</v>
      </c>
      <c r="F390" s="526"/>
      <c r="G390" s="467"/>
      <c r="H390" s="467"/>
      <c r="I390" s="467"/>
      <c r="J390" s="467"/>
      <c r="K390" s="467"/>
      <c r="L390" s="467"/>
      <c r="M390" s="467"/>
      <c r="N390" s="467"/>
      <c r="O390" s="467"/>
      <c r="P390" s="467"/>
      <c r="Q390" s="467"/>
      <c r="R390" s="467"/>
    </row>
    <row r="391" spans="1:18" ht="15.75" customHeight="1">
      <c r="A391" s="450"/>
      <c r="B391" s="417" t="s">
        <v>18</v>
      </c>
      <c r="C391" s="415" t="s">
        <v>222</v>
      </c>
      <c r="D391" s="38">
        <v>2000</v>
      </c>
      <c r="E391" s="112"/>
      <c r="F391" s="526"/>
      <c r="G391" s="467"/>
      <c r="H391" s="467"/>
      <c r="I391" s="467"/>
      <c r="J391" s="467"/>
      <c r="K391" s="467"/>
      <c r="L391" s="467"/>
      <c r="M391" s="467"/>
      <c r="N391" s="467"/>
      <c r="O391" s="467"/>
      <c r="P391" s="467"/>
      <c r="Q391" s="467"/>
      <c r="R391" s="467"/>
    </row>
    <row r="392" spans="1:18" ht="15.75" customHeight="1">
      <c r="A392" s="450"/>
      <c r="B392" s="417" t="s">
        <v>19</v>
      </c>
      <c r="C392" s="415" t="s">
        <v>7</v>
      </c>
      <c r="D392" s="38">
        <v>482</v>
      </c>
      <c r="E392" s="112"/>
      <c r="F392" s="526"/>
      <c r="G392" s="467"/>
      <c r="H392" s="467"/>
      <c r="I392" s="467"/>
      <c r="J392" s="467"/>
      <c r="K392" s="467"/>
      <c r="L392" s="467"/>
      <c r="M392" s="467"/>
      <c r="N392" s="467"/>
      <c r="O392" s="467"/>
      <c r="P392" s="467"/>
      <c r="Q392" s="467"/>
      <c r="R392" s="467"/>
    </row>
    <row r="393" spans="1:18" ht="15">
      <c r="A393" s="450"/>
      <c r="B393" s="417" t="s">
        <v>213</v>
      </c>
      <c r="C393" s="415" t="s">
        <v>203</v>
      </c>
      <c r="D393" s="38">
        <v>4380</v>
      </c>
      <c r="E393" s="112"/>
      <c r="F393" s="526"/>
      <c r="G393" s="467"/>
      <c r="H393" s="467"/>
      <c r="I393" s="467"/>
      <c r="J393" s="467"/>
      <c r="K393" s="467"/>
      <c r="L393" s="467"/>
      <c r="M393" s="467"/>
      <c r="N393" s="467"/>
      <c r="O393" s="467"/>
      <c r="P393" s="467"/>
      <c r="Q393" s="467"/>
      <c r="R393" s="467"/>
    </row>
    <row r="394" spans="1:18" ht="60">
      <c r="A394" s="590" t="s">
        <v>617</v>
      </c>
      <c r="B394" s="568" t="s">
        <v>616</v>
      </c>
      <c r="C394" s="415"/>
      <c r="D394" s="390">
        <f>SUM(D395:D396)</f>
        <v>-820000</v>
      </c>
      <c r="E394" s="112" t="s">
        <v>811</v>
      </c>
      <c r="F394" s="526"/>
      <c r="G394" s="467"/>
      <c r="H394" s="467"/>
      <c r="I394" s="467"/>
      <c r="J394" s="467"/>
      <c r="K394" s="467"/>
      <c r="L394" s="467"/>
      <c r="M394" s="467"/>
      <c r="N394" s="467"/>
      <c r="O394" s="467"/>
      <c r="P394" s="467"/>
      <c r="Q394" s="467"/>
      <c r="R394" s="467"/>
    </row>
    <row r="395" spans="1:18" ht="15">
      <c r="A395" s="450"/>
      <c r="B395" s="417" t="s">
        <v>213</v>
      </c>
      <c r="C395" s="415" t="s">
        <v>203</v>
      </c>
      <c r="D395" s="38">
        <v>-820000</v>
      </c>
      <c r="E395" s="112"/>
      <c r="F395" s="526"/>
      <c r="G395" s="467"/>
      <c r="H395" s="467"/>
      <c r="I395" s="467"/>
      <c r="J395" s="467"/>
      <c r="K395" s="467"/>
      <c r="L395" s="467"/>
      <c r="M395" s="467"/>
      <c r="N395" s="467"/>
      <c r="O395" s="467"/>
      <c r="P395" s="467"/>
      <c r="Q395" s="467"/>
      <c r="R395" s="467"/>
    </row>
    <row r="396" spans="1:18" ht="15">
      <c r="A396" s="450"/>
      <c r="B396" s="417"/>
      <c r="C396" s="415"/>
      <c r="D396" s="38"/>
      <c r="E396" s="112"/>
      <c r="F396" s="526"/>
      <c r="G396" s="467"/>
      <c r="H396" s="467"/>
      <c r="I396" s="467"/>
      <c r="J396" s="467"/>
      <c r="K396" s="467"/>
      <c r="L396" s="467"/>
      <c r="M396" s="467"/>
      <c r="N396" s="467"/>
      <c r="O396" s="467"/>
      <c r="P396" s="467"/>
      <c r="Q396" s="467"/>
      <c r="R396" s="467"/>
    </row>
    <row r="397" spans="1:5" ht="15">
      <c r="A397" s="415" t="s">
        <v>158</v>
      </c>
      <c r="B397" s="417"/>
      <c r="C397" s="415"/>
      <c r="D397" s="54"/>
      <c r="E397" s="130"/>
    </row>
    <row r="398" spans="1:6" s="461" customFormat="1" ht="14.25">
      <c r="A398" s="445"/>
      <c r="B398" s="429"/>
      <c r="C398" s="445" t="s">
        <v>20</v>
      </c>
      <c r="D398" s="419">
        <f>D5+D17+D26+D66+D76+D110+D116+D180+D357+D397</f>
        <v>-11096242</v>
      </c>
      <c r="E398" s="54"/>
      <c r="F398" s="462"/>
    </row>
    <row r="399" spans="1:4" ht="15">
      <c r="A399" s="211" t="s">
        <v>36</v>
      </c>
      <c r="B399" s="157" t="s">
        <v>200</v>
      </c>
      <c r="D399" s="247">
        <f>D413</f>
        <v>333820</v>
      </c>
    </row>
    <row r="400" spans="1:4" ht="15">
      <c r="A400" s="90" t="s">
        <v>737</v>
      </c>
      <c r="D400" s="91">
        <v>-7926</v>
      </c>
    </row>
    <row r="401" spans="1:4" ht="15">
      <c r="A401" s="90" t="s">
        <v>669</v>
      </c>
      <c r="D401" s="107">
        <v>789553</v>
      </c>
    </row>
    <row r="402" spans="1:4" ht="15" customHeight="1">
      <c r="A402" s="90" t="s">
        <v>789</v>
      </c>
      <c r="D402" s="107">
        <v>-4980</v>
      </c>
    </row>
    <row r="403" spans="1:4" ht="15" customHeight="1">
      <c r="A403" s="90" t="s">
        <v>551</v>
      </c>
      <c r="D403" s="107"/>
    </row>
    <row r="405" spans="4:5" ht="15">
      <c r="D405" s="463">
        <f>Ieņēmumi!G17+Ieņēmumi!G18+Ieņēmumi!G19-Izdevumi!D398-D399-Izdevumi!D400-Izdevumi!D401-D402-Izdevumi!D403-D404-'Fin. pagastu pārv.'!U14</f>
        <v>0</v>
      </c>
      <c r="E405" s="91"/>
    </row>
    <row r="406" spans="1:4" ht="15">
      <c r="A406" s="20" t="s">
        <v>36</v>
      </c>
      <c r="D406" s="463"/>
    </row>
    <row r="407" spans="1:4" ht="63">
      <c r="A407" s="625" t="s">
        <v>645</v>
      </c>
      <c r="B407" s="625"/>
      <c r="C407" s="625"/>
      <c r="D407" s="505" t="s">
        <v>646</v>
      </c>
    </row>
    <row r="408" spans="1:4" ht="37.5" customHeight="1">
      <c r="A408" s="632" t="s">
        <v>792</v>
      </c>
      <c r="B408" s="628"/>
      <c r="C408" s="629"/>
      <c r="D408" s="583">
        <v>22257</v>
      </c>
    </row>
    <row r="409" spans="1:4" ht="37.5" customHeight="1">
      <c r="A409" s="628" t="s">
        <v>793</v>
      </c>
      <c r="B409" s="628"/>
      <c r="C409" s="629"/>
      <c r="D409" s="404">
        <v>2020</v>
      </c>
    </row>
    <row r="410" spans="1:4" ht="30.75" customHeight="1">
      <c r="A410" s="626" t="s">
        <v>700</v>
      </c>
      <c r="B410" s="626"/>
      <c r="C410" s="626"/>
      <c r="D410" s="404">
        <v>153280</v>
      </c>
    </row>
    <row r="411" spans="1:4" ht="48.75" customHeight="1">
      <c r="A411" s="628" t="s">
        <v>791</v>
      </c>
      <c r="B411" s="628"/>
      <c r="C411" s="629"/>
      <c r="D411" s="404">
        <v>115860</v>
      </c>
    </row>
    <row r="412" spans="1:4" ht="30.75" customHeight="1">
      <c r="A412" s="630" t="s">
        <v>794</v>
      </c>
      <c r="B412" s="630"/>
      <c r="C412" s="631"/>
      <c r="D412" s="404">
        <v>40403</v>
      </c>
    </row>
    <row r="413" spans="1:4" ht="15">
      <c r="A413" s="627" t="s">
        <v>224</v>
      </c>
      <c r="B413" s="627"/>
      <c r="C413" s="627"/>
      <c r="D413" s="448">
        <f>SUM(D408:D412)</f>
        <v>333820</v>
      </c>
    </row>
    <row r="414" ht="15">
      <c r="D414" s="463"/>
    </row>
    <row r="415" ht="15">
      <c r="D415" s="463"/>
    </row>
    <row r="416" spans="1:5" ht="15">
      <c r="A416" s="90" t="s">
        <v>372</v>
      </c>
      <c r="B416" s="90"/>
      <c r="C416" s="91"/>
      <c r="D416" s="90" t="s">
        <v>37</v>
      </c>
      <c r="E416" s="91"/>
    </row>
    <row r="417" spans="2:5" ht="15">
      <c r="B417" s="90"/>
      <c r="C417" s="91"/>
      <c r="E417" s="91"/>
    </row>
  </sheetData>
  <sheetProtection/>
  <mergeCells count="8">
    <mergeCell ref="A2:E2"/>
    <mergeCell ref="A407:C407"/>
    <mergeCell ref="A410:C410"/>
    <mergeCell ref="A413:C413"/>
    <mergeCell ref="A411:C411"/>
    <mergeCell ref="A412:C412"/>
    <mergeCell ref="A408:C408"/>
    <mergeCell ref="A409:C409"/>
  </mergeCells>
  <printOptions/>
  <pageMargins left="0.45" right="0.17" top="0.69" bottom="0.52" header="0.5118110236220472" footer="0.511811023622047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L35"/>
  <sheetViews>
    <sheetView zoomScalePageLayoutView="0" workbookViewId="0" topLeftCell="A1">
      <selection activeCell="M14" sqref="M14"/>
    </sheetView>
  </sheetViews>
  <sheetFormatPr defaultColWidth="9.140625" defaultRowHeight="12.75"/>
  <cols>
    <col min="1" max="1" width="25.00390625" style="0" customWidth="1"/>
    <col min="2" max="2" width="9.8515625" style="0" customWidth="1"/>
    <col min="3" max="3" width="10.00390625" style="0" customWidth="1"/>
    <col min="4" max="4" width="10.57421875" style="0" customWidth="1"/>
    <col min="5" max="5" width="10.00390625" style="0" customWidth="1"/>
    <col min="6" max="6" width="10.28125" style="0" customWidth="1"/>
    <col min="7" max="7" width="10.00390625" style="0" customWidth="1"/>
    <col min="8" max="8" width="9.28125" style="0" customWidth="1"/>
    <col min="9" max="9" width="10.00390625" style="0" customWidth="1"/>
  </cols>
  <sheetData>
    <row r="1" spans="1:10" ht="12.75">
      <c r="A1" s="1"/>
      <c r="B1" s="1"/>
      <c r="C1" s="1"/>
      <c r="D1" s="1"/>
      <c r="E1" s="1"/>
      <c r="F1" t="s">
        <v>38</v>
      </c>
      <c r="G1" s="1"/>
      <c r="H1" s="1"/>
      <c r="I1" s="1"/>
      <c r="J1" s="1"/>
    </row>
    <row r="2" spans="1:10" ht="33" customHeight="1">
      <c r="A2" s="633" t="s">
        <v>626</v>
      </c>
      <c r="B2" s="633"/>
      <c r="C2" s="633"/>
      <c r="D2" s="633"/>
      <c r="E2" s="633"/>
      <c r="F2" s="633"/>
      <c r="G2" s="633"/>
      <c r="H2" s="633"/>
      <c r="I2" s="633"/>
      <c r="J2" s="633"/>
    </row>
    <row r="3" spans="1:10" ht="18">
      <c r="A3" s="3"/>
      <c r="B3" s="3"/>
      <c r="C3" s="3"/>
      <c r="D3" s="3"/>
      <c r="E3" s="3"/>
      <c r="F3" s="3"/>
      <c r="G3" s="3"/>
      <c r="H3" s="3"/>
      <c r="I3" s="3"/>
      <c r="J3" s="3"/>
    </row>
    <row r="4" spans="1:10" ht="16.5" thickBot="1">
      <c r="A4" s="4" t="s">
        <v>627</v>
      </c>
      <c r="B4" s="4"/>
      <c r="C4" s="4"/>
      <c r="D4" s="4"/>
      <c r="E4" s="4"/>
      <c r="F4" s="4"/>
      <c r="G4" s="4"/>
      <c r="H4" s="4"/>
      <c r="I4" s="4"/>
      <c r="J4" s="1"/>
    </row>
    <row r="5" spans="1:10" ht="27" thickBot="1">
      <c r="A5" s="5"/>
      <c r="B5" s="53" t="s">
        <v>154</v>
      </c>
      <c r="C5" s="11" t="s">
        <v>155</v>
      </c>
      <c r="D5" s="53" t="s">
        <v>147</v>
      </c>
      <c r="E5" s="53" t="s">
        <v>336</v>
      </c>
      <c r="F5" s="53" t="s">
        <v>148</v>
      </c>
      <c r="G5" s="6" t="s">
        <v>149</v>
      </c>
      <c r="H5" s="52"/>
      <c r="I5" s="1"/>
      <c r="J5" s="28"/>
    </row>
    <row r="6" spans="1:10" ht="15">
      <c r="A6" s="7" t="s">
        <v>150</v>
      </c>
      <c r="B6" s="350">
        <v>1586578</v>
      </c>
      <c r="C6" s="348">
        <v>673885</v>
      </c>
      <c r="D6" s="348">
        <v>757920</v>
      </c>
      <c r="E6" s="349">
        <v>850452</v>
      </c>
      <c r="F6" s="350">
        <v>222057</v>
      </c>
      <c r="G6" s="74">
        <f>SUM(B6:F6)</f>
        <v>4090892</v>
      </c>
      <c r="H6" s="9"/>
      <c r="I6" s="1"/>
      <c r="J6" s="26"/>
    </row>
    <row r="7" spans="1:7" ht="15.75" thickBot="1">
      <c r="A7" s="65" t="s">
        <v>151</v>
      </c>
      <c r="C7" s="219"/>
      <c r="D7" s="66"/>
      <c r="E7" s="66"/>
      <c r="F7" s="220"/>
      <c r="G7" s="74">
        <f>SUM(B7:F7)</f>
        <v>0</v>
      </c>
    </row>
    <row r="8" spans="1:9" ht="15.75" thickBot="1">
      <c r="A8" s="67" t="s">
        <v>152</v>
      </c>
      <c r="B8" s="242">
        <f>SUM(B6:B7)</f>
        <v>1586578</v>
      </c>
      <c r="C8" s="242">
        <f>SUM(C6:C7)</f>
        <v>673885</v>
      </c>
      <c r="D8" s="242">
        <f>SUM(D6:D7)</f>
        <v>757920</v>
      </c>
      <c r="E8" s="242">
        <f>SUM(E6:E7)</f>
        <v>850452</v>
      </c>
      <c r="F8" s="242">
        <f>SUM(F6:F7)</f>
        <v>222057</v>
      </c>
      <c r="G8" s="68">
        <f>SUM(B8:F8)</f>
        <v>4090892</v>
      </c>
      <c r="H8" s="356"/>
      <c r="I8" s="51"/>
    </row>
    <row r="9" spans="1:11" ht="15">
      <c r="A9" s="2"/>
      <c r="B9" s="8"/>
      <c r="C9" s="59"/>
      <c r="D9" s="10"/>
      <c r="E9" s="10"/>
      <c r="F9" s="69"/>
      <c r="G9" s="9"/>
      <c r="H9" s="58"/>
      <c r="I9" s="1"/>
      <c r="K9" s="12"/>
    </row>
    <row r="10" spans="1:11" ht="16.5" thickBot="1">
      <c r="A10" s="4" t="s">
        <v>628</v>
      </c>
      <c r="B10" s="260"/>
      <c r="C10" s="260"/>
      <c r="D10" s="260"/>
      <c r="E10" s="261"/>
      <c r="F10" s="260"/>
      <c r="G10" s="260"/>
      <c r="H10" s="260"/>
      <c r="I10" s="260"/>
      <c r="J10" s="1"/>
      <c r="K10" s="12"/>
    </row>
    <row r="11" spans="1:11" ht="15.75" thickBot="1">
      <c r="A11" s="5" t="s">
        <v>23</v>
      </c>
      <c r="B11" s="11" t="s">
        <v>405</v>
      </c>
      <c r="C11" s="11" t="s">
        <v>406</v>
      </c>
      <c r="D11" s="11" t="s">
        <v>407</v>
      </c>
      <c r="E11" s="11" t="s">
        <v>408</v>
      </c>
      <c r="F11" s="11" t="s">
        <v>409</v>
      </c>
      <c r="G11" s="11" t="s">
        <v>410</v>
      </c>
      <c r="H11" s="11" t="s">
        <v>411</v>
      </c>
      <c r="I11" s="262" t="s">
        <v>412</v>
      </c>
      <c r="J11" s="263" t="s">
        <v>413</v>
      </c>
      <c r="K11" s="12"/>
    </row>
    <row r="12" spans="1:11" ht="15">
      <c r="A12" s="264" t="s">
        <v>150</v>
      </c>
      <c r="B12" s="347">
        <v>23448</v>
      </c>
      <c r="C12" s="347">
        <v>110776</v>
      </c>
      <c r="D12" s="348">
        <v>78270</v>
      </c>
      <c r="E12" s="348">
        <v>110293</v>
      </c>
      <c r="F12" s="348">
        <v>99790</v>
      </c>
      <c r="G12" s="348">
        <v>26833</v>
      </c>
      <c r="H12" s="348">
        <v>76613</v>
      </c>
      <c r="I12" s="278">
        <v>56415</v>
      </c>
      <c r="J12" s="265">
        <f>SUM(B12:I12)</f>
        <v>582438</v>
      </c>
      <c r="K12" s="12"/>
    </row>
    <row r="13" spans="1:11" ht="15.75" thickBot="1">
      <c r="A13" s="266" t="s">
        <v>151</v>
      </c>
      <c r="B13" s="267"/>
      <c r="C13" s="267"/>
      <c r="D13" s="267"/>
      <c r="E13" s="267"/>
      <c r="F13" s="267"/>
      <c r="G13" s="267"/>
      <c r="H13" s="267"/>
      <c r="I13" s="267"/>
      <c r="J13" s="268">
        <f>SUM(B13:I13)</f>
        <v>0</v>
      </c>
      <c r="K13" s="12"/>
    </row>
    <row r="14" spans="1:12" ht="15.75" thickBot="1">
      <c r="A14" s="269" t="s">
        <v>414</v>
      </c>
      <c r="B14" s="270">
        <f aca="true" t="shared" si="0" ref="B14:I14">SUM(B12:B13)</f>
        <v>23448</v>
      </c>
      <c r="C14" s="270">
        <f t="shared" si="0"/>
        <v>110776</v>
      </c>
      <c r="D14" s="270">
        <f t="shared" si="0"/>
        <v>78270</v>
      </c>
      <c r="E14" s="270">
        <f t="shared" si="0"/>
        <v>110293</v>
      </c>
      <c r="F14" s="270">
        <f t="shared" si="0"/>
        <v>99790</v>
      </c>
      <c r="G14" s="270">
        <f t="shared" si="0"/>
        <v>26833</v>
      </c>
      <c r="H14" s="270">
        <f t="shared" si="0"/>
        <v>76613</v>
      </c>
      <c r="I14" s="270">
        <f t="shared" si="0"/>
        <v>56415</v>
      </c>
      <c r="J14" s="68">
        <f>SUM(B14:I14)</f>
        <v>582438</v>
      </c>
      <c r="K14" s="356"/>
      <c r="L14" s="51"/>
    </row>
    <row r="15" spans="1:10" ht="15">
      <c r="A15" s="271"/>
      <c r="B15" s="10"/>
      <c r="C15" s="10"/>
      <c r="D15" s="10"/>
      <c r="E15" s="10"/>
      <c r="F15" s="10"/>
      <c r="G15" s="10"/>
      <c r="H15" s="10"/>
      <c r="I15" s="10"/>
      <c r="J15" s="9"/>
    </row>
    <row r="16" spans="1:10" ht="16.5" thickBot="1">
      <c r="A16" s="4" t="s">
        <v>629</v>
      </c>
      <c r="B16" s="4"/>
      <c r="C16" s="4"/>
      <c r="D16" s="4"/>
      <c r="E16" s="4"/>
      <c r="F16" s="4"/>
      <c r="G16" s="4"/>
      <c r="H16" s="4"/>
      <c r="I16" s="4"/>
      <c r="J16" s="1"/>
    </row>
    <row r="17" spans="1:11" ht="29.25" customHeight="1" thickBot="1">
      <c r="A17" s="5"/>
      <c r="B17" s="272" t="s">
        <v>415</v>
      </c>
      <c r="C17" s="272" t="s">
        <v>416</v>
      </c>
      <c r="D17" s="273" t="s">
        <v>147</v>
      </c>
      <c r="E17" s="53" t="s">
        <v>336</v>
      </c>
      <c r="F17" s="274" t="s">
        <v>148</v>
      </c>
      <c r="G17" s="275" t="s">
        <v>17</v>
      </c>
      <c r="H17" s="274" t="s">
        <v>153</v>
      </c>
      <c r="I17" s="274" t="s">
        <v>417</v>
      </c>
      <c r="J17" s="263" t="s">
        <v>149</v>
      </c>
      <c r="K17" s="276"/>
    </row>
    <row r="18" spans="1:10" ht="15">
      <c r="A18" s="7" t="s">
        <v>418</v>
      </c>
      <c r="B18" s="346">
        <v>46396</v>
      </c>
      <c r="C18" s="348">
        <v>31094</v>
      </c>
      <c r="D18" s="347">
        <v>15031</v>
      </c>
      <c r="E18" s="348">
        <v>29346</v>
      </c>
      <c r="F18" s="278">
        <v>12947</v>
      </c>
      <c r="G18" s="278">
        <v>0</v>
      </c>
      <c r="H18" s="277">
        <v>0</v>
      </c>
      <c r="I18" s="278">
        <v>85229</v>
      </c>
      <c r="J18" s="265">
        <f>SUM(B18:I18)</f>
        <v>220043</v>
      </c>
    </row>
    <row r="19" spans="1:11" ht="15.75" thickBot="1">
      <c r="A19" s="279" t="s">
        <v>151</v>
      </c>
      <c r="B19" s="280"/>
      <c r="C19" s="280"/>
      <c r="D19" s="280"/>
      <c r="E19" s="280"/>
      <c r="F19" s="280"/>
      <c r="G19" s="280"/>
      <c r="H19" s="280"/>
      <c r="I19" s="280"/>
      <c r="J19" s="281">
        <f>SUM(B19:I19)</f>
        <v>0</v>
      </c>
      <c r="K19" s="282"/>
    </row>
    <row r="20" spans="1:10" ht="15.75" thickBot="1">
      <c r="A20" s="283" t="s">
        <v>419</v>
      </c>
      <c r="B20" s="284">
        <f aca="true" t="shared" si="1" ref="B20:H20">SUM(B18:B19)</f>
        <v>46396</v>
      </c>
      <c r="C20" s="284">
        <f t="shared" si="1"/>
        <v>31094</v>
      </c>
      <c r="D20" s="284">
        <f t="shared" si="1"/>
        <v>15031</v>
      </c>
      <c r="E20" s="284">
        <f t="shared" si="1"/>
        <v>29346</v>
      </c>
      <c r="F20" s="284">
        <f t="shared" si="1"/>
        <v>12947</v>
      </c>
      <c r="G20" s="284">
        <f t="shared" si="1"/>
        <v>0</v>
      </c>
      <c r="H20" s="284">
        <f t="shared" si="1"/>
        <v>0</v>
      </c>
      <c r="I20" s="284">
        <f>SUM(I18:I19)</f>
        <v>85229</v>
      </c>
      <c r="J20" s="285">
        <f>SUM(B20:I20)</f>
        <v>220043</v>
      </c>
    </row>
    <row r="21" spans="1:12" ht="15">
      <c r="A21" s="2"/>
      <c r="B21" s="8"/>
      <c r="C21" s="8"/>
      <c r="D21" s="8"/>
      <c r="E21" s="8"/>
      <c r="F21" s="8"/>
      <c r="G21" s="8"/>
      <c r="H21" s="8"/>
      <c r="I21" s="8"/>
      <c r="J21" s="8"/>
      <c r="K21" s="9"/>
      <c r="L21" s="286"/>
    </row>
    <row r="22" spans="1:10" ht="16.5" thickBot="1">
      <c r="A22" s="4" t="s">
        <v>630</v>
      </c>
      <c r="B22" s="4"/>
      <c r="C22" s="4"/>
      <c r="D22" s="4"/>
      <c r="E22" s="4"/>
      <c r="F22" s="4"/>
      <c r="G22" s="4"/>
      <c r="H22" s="4"/>
      <c r="I22" s="4"/>
      <c r="J22" s="1"/>
    </row>
    <row r="23" spans="1:10" ht="29.25" customHeight="1" thickBot="1">
      <c r="A23" s="5"/>
      <c r="B23" s="274" t="s">
        <v>17</v>
      </c>
      <c r="C23" s="274" t="s">
        <v>153</v>
      </c>
      <c r="D23" s="274" t="s">
        <v>420</v>
      </c>
      <c r="E23" s="274" t="s">
        <v>135</v>
      </c>
      <c r="F23" s="263" t="s">
        <v>149</v>
      </c>
      <c r="G23" s="1"/>
      <c r="H23" s="1"/>
      <c r="I23" s="1"/>
      <c r="J23" s="1"/>
    </row>
    <row r="24" spans="1:10" ht="15">
      <c r="A24" s="7" t="s">
        <v>418</v>
      </c>
      <c r="B24" s="247">
        <v>220702</v>
      </c>
      <c r="C24" s="352">
        <v>119337</v>
      </c>
      <c r="D24" s="351">
        <v>366441</v>
      </c>
      <c r="E24" s="351">
        <v>94528</v>
      </c>
      <c r="F24" s="265">
        <f>SUM(B24:E24)</f>
        <v>801008</v>
      </c>
      <c r="G24" s="1"/>
      <c r="H24" s="9"/>
      <c r="I24" s="1"/>
      <c r="J24" s="1"/>
    </row>
    <row r="25" spans="1:10" ht="15.75" thickBot="1">
      <c r="A25" s="65" t="s">
        <v>151</v>
      </c>
      <c r="B25" s="287"/>
      <c r="C25" s="287"/>
      <c r="D25" s="219"/>
      <c r="E25" s="288"/>
      <c r="F25" s="268">
        <f>SUM(B25:E25)</f>
        <v>0</v>
      </c>
      <c r="G25" s="1"/>
      <c r="H25" s="1"/>
      <c r="I25" s="1"/>
      <c r="J25" s="1"/>
    </row>
    <row r="26" spans="1:10" ht="15.75" thickBot="1">
      <c r="A26" s="67" t="s">
        <v>419</v>
      </c>
      <c r="B26" s="242">
        <f>SUM(B24:B25)</f>
        <v>220702</v>
      </c>
      <c r="C26" s="242">
        <f>SUM(C24:C25)</f>
        <v>119337</v>
      </c>
      <c r="D26" s="242">
        <f>SUM(D24:D25)</f>
        <v>366441</v>
      </c>
      <c r="E26" s="242">
        <f>SUM(E24:E25)</f>
        <v>94528</v>
      </c>
      <c r="F26" s="68">
        <f>SUM(B26:E26)</f>
        <v>801008</v>
      </c>
      <c r="G26" s="1"/>
      <c r="H26" s="9"/>
      <c r="I26" s="1"/>
      <c r="J26" s="1"/>
    </row>
    <row r="27" spans="1:10" ht="15">
      <c r="A27" s="2"/>
      <c r="B27" s="8"/>
      <c r="C27" s="8"/>
      <c r="D27" s="8"/>
      <c r="E27" s="8"/>
      <c r="F27" s="9"/>
      <c r="G27" s="1"/>
      <c r="H27" s="1"/>
      <c r="I27" s="1"/>
      <c r="J27" s="1"/>
    </row>
    <row r="28" spans="1:10" ht="16.5" thickBot="1">
      <c r="A28" s="634" t="s">
        <v>634</v>
      </c>
      <c r="B28" s="634"/>
      <c r="C28" s="634"/>
      <c r="D28" s="634"/>
      <c r="E28" s="634"/>
      <c r="F28" s="635"/>
      <c r="G28" s="1"/>
      <c r="H28" s="1"/>
      <c r="I28" s="1"/>
      <c r="J28" s="1"/>
    </row>
    <row r="29" spans="1:10" ht="27" thickBot="1">
      <c r="A29" s="5"/>
      <c r="B29" s="53" t="s">
        <v>147</v>
      </c>
      <c r="C29" s="274" t="s">
        <v>420</v>
      </c>
      <c r="D29" s="274"/>
      <c r="E29" s="263" t="s">
        <v>149</v>
      </c>
      <c r="F29" s="2"/>
      <c r="G29" s="1"/>
      <c r="H29" s="1"/>
      <c r="I29" s="1"/>
      <c r="J29" s="1"/>
    </row>
    <row r="30" spans="1:10" ht="15">
      <c r="A30" s="65" t="s">
        <v>633</v>
      </c>
      <c r="B30" s="66">
        <v>414</v>
      </c>
      <c r="C30" s="287">
        <v>828</v>
      </c>
      <c r="D30" s="66"/>
      <c r="E30" s="268">
        <f>SUM(B30:D30)</f>
        <v>1242</v>
      </c>
      <c r="F30" s="1"/>
      <c r="G30" s="1"/>
      <c r="H30" s="1"/>
      <c r="I30" s="1"/>
      <c r="J30" s="1"/>
    </row>
    <row r="31" spans="1:10" ht="15.75" thickBot="1">
      <c r="A31" s="65" t="s">
        <v>151</v>
      </c>
      <c r="B31" s="66"/>
      <c r="C31" s="287"/>
      <c r="D31" s="66"/>
      <c r="E31" s="74">
        <f>SUM(B31:D31)</f>
        <v>0</v>
      </c>
      <c r="F31" s="1"/>
      <c r="G31" s="1"/>
      <c r="H31" s="1"/>
      <c r="I31" s="1"/>
      <c r="J31" s="1"/>
    </row>
    <row r="32" spans="1:10" ht="15.75" thickBot="1">
      <c r="A32" s="67" t="s">
        <v>419</v>
      </c>
      <c r="B32" s="242">
        <f>SUM(B30:B31)</f>
        <v>414</v>
      </c>
      <c r="C32" s="242">
        <f>SUM(C30:C31)</f>
        <v>828</v>
      </c>
      <c r="D32" s="242">
        <f>SUM(D30:D31)</f>
        <v>0</v>
      </c>
      <c r="E32" s="493">
        <f>SUM(E30:E31)</f>
        <v>1242</v>
      </c>
      <c r="G32" s="1"/>
      <c r="H32" s="1"/>
      <c r="I32" s="1"/>
      <c r="J32" s="1"/>
    </row>
    <row r="33" spans="1:10" ht="15">
      <c r="A33" s="2"/>
      <c r="B33" s="8"/>
      <c r="C33" s="8"/>
      <c r="D33" s="8"/>
      <c r="E33" s="8"/>
      <c r="F33" s="9"/>
      <c r="G33" s="1"/>
      <c r="H33" s="1"/>
      <c r="I33" s="1"/>
      <c r="J33" s="1"/>
    </row>
    <row r="34" spans="1:10" ht="15">
      <c r="A34" s="2"/>
      <c r="B34" s="8"/>
      <c r="C34" s="8"/>
      <c r="D34" s="8"/>
      <c r="E34" s="8"/>
      <c r="F34" s="9"/>
      <c r="G34" s="1"/>
      <c r="H34" s="1"/>
      <c r="I34" s="1"/>
      <c r="J34" s="1"/>
    </row>
    <row r="35" spans="1:10" ht="12.75">
      <c r="A35" s="2"/>
      <c r="B35" s="1" t="s">
        <v>372</v>
      </c>
      <c r="C35" s="1"/>
      <c r="D35" s="1"/>
      <c r="E35" s="1"/>
      <c r="F35" s="1"/>
      <c r="G35" s="1"/>
      <c r="H35" s="1" t="s">
        <v>37</v>
      </c>
      <c r="I35" s="1"/>
      <c r="J35" s="1"/>
    </row>
  </sheetData>
  <sheetProtection/>
  <mergeCells count="2">
    <mergeCell ref="A2:J2"/>
    <mergeCell ref="A28:F28"/>
  </mergeCells>
  <printOptions/>
  <pageMargins left="0.7480314960629921" right="0.7480314960629921" top="0.5905511811023623" bottom="0.5905511811023623"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V36"/>
  <sheetViews>
    <sheetView zoomScalePageLayoutView="0" workbookViewId="0" topLeftCell="A1">
      <pane xSplit="1" ySplit="3" topLeftCell="B4" activePane="bottomRight" state="frozen"/>
      <selection pane="topLeft" activeCell="J8" sqref="J8"/>
      <selection pane="topRight" activeCell="J8" sqref="J8"/>
      <selection pane="bottomLeft" activeCell="J8" sqref="J8"/>
      <selection pane="bottomRight" activeCell="N17" sqref="N17"/>
    </sheetView>
  </sheetViews>
  <sheetFormatPr defaultColWidth="9.140625" defaultRowHeight="12.75" outlineLevelRow="1"/>
  <cols>
    <col min="1" max="1" width="33.8515625" style="0" customWidth="1"/>
    <col min="2" max="2" width="11.28125" style="0" customWidth="1"/>
    <col min="3" max="4" width="10.8515625" style="0" customWidth="1"/>
    <col min="5" max="5" width="9.140625" style="0" customWidth="1"/>
    <col min="6" max="6" width="9.8515625" style="0" customWidth="1"/>
    <col min="7" max="7" width="9.28125" style="0" customWidth="1"/>
    <col min="8" max="9" width="8.28125" style="0" customWidth="1"/>
    <col min="10" max="10" width="10.00390625" style="0" customWidth="1"/>
    <col min="11" max="11" width="9.28125" style="0" customWidth="1"/>
    <col min="13" max="13" width="8.00390625" style="0" customWidth="1"/>
    <col min="14" max="16" width="9.421875" style="0" customWidth="1"/>
    <col min="17" max="17" width="11.57421875" style="0" customWidth="1"/>
    <col min="18" max="18" width="8.7109375" style="0" customWidth="1"/>
    <col min="19" max="19" width="10.00390625" style="32" customWidth="1"/>
    <col min="20" max="20" width="7.421875" style="32" customWidth="1"/>
    <col min="21" max="21" width="9.421875" style="0" customWidth="1"/>
  </cols>
  <sheetData>
    <row r="1" ht="12.75">
      <c r="I1" t="s">
        <v>38</v>
      </c>
    </row>
    <row r="2" spans="1:17" ht="12.75">
      <c r="A2" s="51" t="s">
        <v>838</v>
      </c>
      <c r="K2" s="304"/>
      <c r="M2" s="304"/>
      <c r="N2" s="304"/>
      <c r="O2" s="304"/>
      <c r="P2" s="304"/>
      <c r="Q2" s="304"/>
    </row>
    <row r="3" spans="1:22" ht="106.5" customHeight="1">
      <c r="A3" s="33"/>
      <c r="B3" s="34" t="s">
        <v>223</v>
      </c>
      <c r="C3" s="34" t="s">
        <v>333</v>
      </c>
      <c r="D3" s="84" t="s">
        <v>698</v>
      </c>
      <c r="E3" s="34" t="s">
        <v>334</v>
      </c>
      <c r="F3" s="34" t="s">
        <v>335</v>
      </c>
      <c r="G3" s="34" t="s">
        <v>332</v>
      </c>
      <c r="H3" s="34" t="s">
        <v>236</v>
      </c>
      <c r="I3" s="84" t="s">
        <v>354</v>
      </c>
      <c r="J3" s="84" t="s">
        <v>367</v>
      </c>
      <c r="K3" s="305" t="s">
        <v>0</v>
      </c>
      <c r="L3" s="35" t="s">
        <v>377</v>
      </c>
      <c r="M3" s="34" t="s">
        <v>380</v>
      </c>
      <c r="N3" s="358" t="s">
        <v>434</v>
      </c>
      <c r="O3" s="591" t="s">
        <v>547</v>
      </c>
      <c r="P3" s="528" t="s">
        <v>828</v>
      </c>
      <c r="Q3" s="525" t="s">
        <v>524</v>
      </c>
      <c r="R3" s="36" t="s">
        <v>432</v>
      </c>
      <c r="S3" s="83" t="s">
        <v>493</v>
      </c>
      <c r="T3" s="544" t="s">
        <v>731</v>
      </c>
      <c r="U3" s="37" t="s">
        <v>224</v>
      </c>
      <c r="V3" s="57"/>
    </row>
    <row r="4" spans="1:22" ht="15">
      <c r="A4" s="38" t="s">
        <v>225</v>
      </c>
      <c r="B4" s="38">
        <f>B26</f>
        <v>0</v>
      </c>
      <c r="C4" s="33"/>
      <c r="D4" s="33"/>
      <c r="E4" s="33"/>
      <c r="F4" s="38"/>
      <c r="G4" s="38"/>
      <c r="H4" s="38"/>
      <c r="I4" s="38"/>
      <c r="J4" s="38"/>
      <c r="K4" s="110"/>
      <c r="L4" s="39"/>
      <c r="M4" s="40"/>
      <c r="N4" s="357"/>
      <c r="O4" s="357"/>
      <c r="P4" s="357"/>
      <c r="Q4" s="503"/>
      <c r="R4" s="44"/>
      <c r="S4" s="40"/>
      <c r="T4" s="543"/>
      <c r="U4" s="41">
        <f aca="true" t="shared" si="0" ref="U4:U13">SUM(B4:S4)</f>
        <v>0</v>
      </c>
      <c r="V4" s="42"/>
    </row>
    <row r="5" spans="1:22" ht="15">
      <c r="A5" s="38" t="s">
        <v>226</v>
      </c>
      <c r="B5" s="38">
        <f>C26-O5-S5</f>
        <v>-46</v>
      </c>
      <c r="C5" s="23"/>
      <c r="D5" s="23"/>
      <c r="E5" s="33"/>
      <c r="F5" s="38"/>
      <c r="G5" s="38"/>
      <c r="H5" s="38"/>
      <c r="I5" s="38"/>
      <c r="J5" s="38"/>
      <c r="K5" s="38"/>
      <c r="L5" s="39"/>
      <c r="M5" s="43"/>
      <c r="N5" s="249"/>
      <c r="O5" s="249">
        <v>588</v>
      </c>
      <c r="P5" s="249"/>
      <c r="Q5" s="249"/>
      <c r="R5" s="45"/>
      <c r="S5" s="603">
        <v>-21</v>
      </c>
      <c r="T5" s="40"/>
      <c r="U5" s="41">
        <f t="shared" si="0"/>
        <v>521</v>
      </c>
      <c r="V5" s="42"/>
    </row>
    <row r="6" spans="1:22" ht="15">
      <c r="A6" s="38" t="s">
        <v>227</v>
      </c>
      <c r="B6" s="249">
        <f>D26</f>
        <v>0</v>
      </c>
      <c r="C6" s="43"/>
      <c r="D6" s="43"/>
      <c r="E6" s="33"/>
      <c r="F6" s="38"/>
      <c r="G6" s="38"/>
      <c r="H6" s="38"/>
      <c r="I6" s="38"/>
      <c r="J6" s="38"/>
      <c r="K6" s="38"/>
      <c r="L6" s="64"/>
      <c r="M6" s="45"/>
      <c r="N6" s="244">
        <v>-58544</v>
      </c>
      <c r="O6" s="244"/>
      <c r="P6" s="244"/>
      <c r="Q6" s="244"/>
      <c r="R6" s="514"/>
      <c r="S6" s="45"/>
      <c r="T6" s="45"/>
      <c r="U6" s="41">
        <f t="shared" si="0"/>
        <v>-58544</v>
      </c>
      <c r="V6" s="42"/>
    </row>
    <row r="7" spans="1:22" ht="15">
      <c r="A7" s="236" t="s">
        <v>228</v>
      </c>
      <c r="B7" s="244">
        <f>F26-P7</f>
        <v>-9324</v>
      </c>
      <c r="C7" s="23"/>
      <c r="D7" s="23"/>
      <c r="E7" s="379"/>
      <c r="F7" s="236"/>
      <c r="G7" s="38"/>
      <c r="H7" s="38"/>
      <c r="I7" s="38"/>
      <c r="J7" s="38"/>
      <c r="K7" s="38"/>
      <c r="L7" s="64"/>
      <c r="M7" s="40"/>
      <c r="N7" s="249"/>
      <c r="O7" s="249"/>
      <c r="P7" s="249">
        <v>-3</v>
      </c>
      <c r="Q7" s="249"/>
      <c r="R7" s="40"/>
      <c r="S7" s="40"/>
      <c r="T7" s="43">
        <v>-1800</v>
      </c>
      <c r="U7" s="41">
        <f>SUM(B7:T7)</f>
        <v>-11127</v>
      </c>
      <c r="V7" s="42"/>
    </row>
    <row r="8" spans="1:22" ht="15">
      <c r="A8" s="38" t="s">
        <v>229</v>
      </c>
      <c r="B8" s="38">
        <f>G26</f>
        <v>0</v>
      </c>
      <c r="C8" s="43"/>
      <c r="D8" s="43"/>
      <c r="E8" s="33"/>
      <c r="F8" s="38"/>
      <c r="G8" s="38"/>
      <c r="H8" s="38"/>
      <c r="I8" s="38"/>
      <c r="J8" s="38"/>
      <c r="K8" s="38"/>
      <c r="L8" s="39"/>
      <c r="M8" s="40"/>
      <c r="N8" s="249"/>
      <c r="O8" s="249"/>
      <c r="P8" s="249"/>
      <c r="Q8" s="249"/>
      <c r="R8" s="40"/>
      <c r="S8" s="40"/>
      <c r="T8" s="40"/>
      <c r="U8" s="41">
        <f t="shared" si="0"/>
        <v>0</v>
      </c>
      <c r="V8" s="42"/>
    </row>
    <row r="9" spans="1:22" ht="15">
      <c r="A9" s="38" t="s">
        <v>230</v>
      </c>
      <c r="B9" s="38">
        <f>E26</f>
        <v>0</v>
      </c>
      <c r="C9" s="43"/>
      <c r="D9" s="43"/>
      <c r="E9" s="33"/>
      <c r="F9" s="38"/>
      <c r="G9" s="38"/>
      <c r="H9" s="38"/>
      <c r="I9" s="38"/>
      <c r="J9" s="38"/>
      <c r="K9" s="38"/>
      <c r="L9" s="64"/>
      <c r="M9" s="45"/>
      <c r="N9" s="244"/>
      <c r="O9" s="244"/>
      <c r="P9" s="244"/>
      <c r="Q9" s="244"/>
      <c r="R9" s="45"/>
      <c r="S9" s="23"/>
      <c r="T9" s="23"/>
      <c r="U9" s="41">
        <f t="shared" si="0"/>
        <v>0</v>
      </c>
      <c r="V9" s="42"/>
    </row>
    <row r="10" spans="1:22" ht="15">
      <c r="A10" s="38" t="s">
        <v>231</v>
      </c>
      <c r="B10" s="38">
        <f>H26-Q10-P10</f>
        <v>0</v>
      </c>
      <c r="C10" s="43"/>
      <c r="D10" s="43"/>
      <c r="E10" s="33"/>
      <c r="F10" s="38"/>
      <c r="G10" s="38"/>
      <c r="H10" s="38"/>
      <c r="I10" s="38"/>
      <c r="J10" s="38"/>
      <c r="K10" s="250"/>
      <c r="L10" s="39"/>
      <c r="M10" s="38"/>
      <c r="N10" s="249"/>
      <c r="O10" s="249"/>
      <c r="P10" s="249">
        <v>-76</v>
      </c>
      <c r="Q10" s="249">
        <v>1350</v>
      </c>
      <c r="R10" s="361"/>
      <c r="S10" s="40"/>
      <c r="T10" s="40"/>
      <c r="U10" s="41">
        <f t="shared" si="0"/>
        <v>1274</v>
      </c>
      <c r="V10" s="42"/>
    </row>
    <row r="11" spans="1:22" ht="15">
      <c r="A11" s="38" t="s">
        <v>549</v>
      </c>
      <c r="B11" s="38">
        <f>I26</f>
        <v>0</v>
      </c>
      <c r="C11" s="43"/>
      <c r="D11" s="43"/>
      <c r="E11" s="33"/>
      <c r="F11" s="38"/>
      <c r="G11" s="38"/>
      <c r="H11" s="38"/>
      <c r="I11" s="38"/>
      <c r="J11" s="38"/>
      <c r="K11" s="250"/>
      <c r="L11" s="39"/>
      <c r="M11" s="38"/>
      <c r="N11" s="249"/>
      <c r="O11" s="249"/>
      <c r="P11" s="249"/>
      <c r="Q11" s="249"/>
      <c r="R11" s="361"/>
      <c r="S11" s="40"/>
      <c r="T11" s="40"/>
      <c r="U11" s="41">
        <f t="shared" si="0"/>
        <v>0</v>
      </c>
      <c r="V11" s="42"/>
    </row>
    <row r="12" spans="1:22" ht="15">
      <c r="A12" s="38" t="s">
        <v>373</v>
      </c>
      <c r="B12" s="38">
        <v>0</v>
      </c>
      <c r="C12" s="43"/>
      <c r="D12" s="43"/>
      <c r="E12" s="33"/>
      <c r="F12" s="38"/>
      <c r="G12" s="38"/>
      <c r="H12" s="38"/>
      <c r="I12" s="38"/>
      <c r="J12" s="38"/>
      <c r="K12" s="38"/>
      <c r="L12" s="39"/>
      <c r="M12" s="38"/>
      <c r="N12" s="43"/>
      <c r="O12" s="43"/>
      <c r="P12" s="43"/>
      <c r="Q12" s="43"/>
      <c r="R12" s="361"/>
      <c r="S12" s="40"/>
      <c r="T12" s="40"/>
      <c r="U12" s="41">
        <f t="shared" si="0"/>
        <v>0</v>
      </c>
      <c r="V12" s="42"/>
    </row>
    <row r="13" spans="1:22" ht="15">
      <c r="A13" s="38" t="s">
        <v>232</v>
      </c>
      <c r="B13" s="38">
        <f>J26-P13</f>
        <v>29</v>
      </c>
      <c r="C13" s="23"/>
      <c r="D13" s="23"/>
      <c r="E13" s="33"/>
      <c r="F13" s="38"/>
      <c r="G13" s="38"/>
      <c r="H13" s="38"/>
      <c r="I13" s="38"/>
      <c r="J13" s="38"/>
      <c r="K13" s="38"/>
      <c r="L13" s="40"/>
      <c r="M13" s="40"/>
      <c r="N13" s="249"/>
      <c r="O13" s="249"/>
      <c r="P13" s="249">
        <v>-6</v>
      </c>
      <c r="Q13" s="249"/>
      <c r="R13" s="45"/>
      <c r="S13" s="45"/>
      <c r="T13" s="45"/>
      <c r="U13" s="41">
        <f t="shared" si="0"/>
        <v>23</v>
      </c>
      <c r="V13" s="42"/>
    </row>
    <row r="14" spans="1:22" ht="12.75">
      <c r="A14" s="33" t="s">
        <v>233</v>
      </c>
      <c r="B14" s="46">
        <f>SUM(B4:B13)</f>
        <v>-9341</v>
      </c>
      <c r="C14" s="46">
        <f aca="true" t="shared" si="1" ref="C14:T14">SUM(C4:C13)</f>
        <v>0</v>
      </c>
      <c r="D14" s="46">
        <f t="shared" si="1"/>
        <v>0</v>
      </c>
      <c r="E14" s="46">
        <f t="shared" si="1"/>
        <v>0</v>
      </c>
      <c r="F14" s="46">
        <f t="shared" si="1"/>
        <v>0</v>
      </c>
      <c r="G14" s="46">
        <f t="shared" si="1"/>
        <v>0</v>
      </c>
      <c r="H14" s="46">
        <f>SUM(H4:H13)</f>
        <v>0</v>
      </c>
      <c r="I14" s="46">
        <f>SUM(I4:I13)</f>
        <v>0</v>
      </c>
      <c r="J14" s="46">
        <f>SUM(J4:J13)</f>
        <v>0</v>
      </c>
      <c r="K14" s="46">
        <f t="shared" si="1"/>
        <v>0</v>
      </c>
      <c r="L14" s="46">
        <f t="shared" si="1"/>
        <v>0</v>
      </c>
      <c r="M14" s="46">
        <f t="shared" si="1"/>
        <v>0</v>
      </c>
      <c r="N14" s="46">
        <f t="shared" si="1"/>
        <v>-58544</v>
      </c>
      <c r="O14" s="46">
        <f t="shared" si="1"/>
        <v>588</v>
      </c>
      <c r="P14" s="46">
        <f t="shared" si="1"/>
        <v>-85</v>
      </c>
      <c r="Q14" s="46">
        <f t="shared" si="1"/>
        <v>1350</v>
      </c>
      <c r="R14" s="46">
        <f t="shared" si="1"/>
        <v>0</v>
      </c>
      <c r="S14" s="46">
        <f t="shared" si="1"/>
        <v>-21</v>
      </c>
      <c r="T14" s="46">
        <f t="shared" si="1"/>
        <v>-1800</v>
      </c>
      <c r="U14" s="41">
        <f>SUM(B14:T14)</f>
        <v>-67853</v>
      </c>
      <c r="V14" s="42"/>
    </row>
    <row r="15" ht="12.75">
      <c r="A15" t="s">
        <v>234</v>
      </c>
    </row>
    <row r="16" spans="1:20" ht="45">
      <c r="A16" s="48" t="s">
        <v>341</v>
      </c>
      <c r="B16" s="48" t="s">
        <v>225</v>
      </c>
      <c r="C16" s="48" t="s">
        <v>226</v>
      </c>
      <c r="D16" s="48" t="s">
        <v>227</v>
      </c>
      <c r="E16" s="48" t="s">
        <v>230</v>
      </c>
      <c r="F16" s="48" t="s">
        <v>228</v>
      </c>
      <c r="G16" s="48" t="s">
        <v>229</v>
      </c>
      <c r="H16" s="48" t="s">
        <v>231</v>
      </c>
      <c r="I16" s="48" t="s">
        <v>691</v>
      </c>
      <c r="J16" s="48" t="s">
        <v>232</v>
      </c>
      <c r="K16" s="48" t="s">
        <v>370</v>
      </c>
      <c r="M16" s="61"/>
      <c r="N16" s="50"/>
      <c r="O16" s="50"/>
      <c r="P16" s="50"/>
      <c r="Q16" s="50"/>
      <c r="S16"/>
      <c r="T16"/>
    </row>
    <row r="17" spans="1:20" ht="60">
      <c r="A17" s="398" t="s">
        <v>726</v>
      </c>
      <c r="B17" s="48"/>
      <c r="C17" s="48"/>
      <c r="D17" s="48"/>
      <c r="E17" s="48"/>
      <c r="F17" s="48">
        <v>891</v>
      </c>
      <c r="G17" s="48"/>
      <c r="H17" s="48"/>
      <c r="I17" s="48"/>
      <c r="J17" s="48"/>
      <c r="K17" s="48"/>
      <c r="M17" s="50"/>
      <c r="N17" s="50"/>
      <c r="O17" s="50"/>
      <c r="P17" s="50"/>
      <c r="Q17" s="50"/>
      <c r="S17"/>
      <c r="T17"/>
    </row>
    <row r="18" spans="1:20" ht="15">
      <c r="A18" s="187" t="s">
        <v>730</v>
      </c>
      <c r="B18" s="48"/>
      <c r="C18" s="48"/>
      <c r="D18" s="48"/>
      <c r="E18" s="48"/>
      <c r="F18" s="48">
        <v>-10288</v>
      </c>
      <c r="G18" s="48"/>
      <c r="H18" s="48"/>
      <c r="I18" s="48"/>
      <c r="J18" s="48"/>
      <c r="K18" s="48"/>
      <c r="M18" s="50"/>
      <c r="N18" s="50"/>
      <c r="O18" s="50"/>
      <c r="S18"/>
      <c r="T18"/>
    </row>
    <row r="19" spans="1:20" ht="48.75" customHeight="1">
      <c r="A19" s="572" t="s">
        <v>772</v>
      </c>
      <c r="B19" s="48"/>
      <c r="C19" s="48"/>
      <c r="D19" s="48"/>
      <c r="E19" s="48"/>
      <c r="F19" s="48">
        <v>27</v>
      </c>
      <c r="G19" s="48"/>
      <c r="H19" s="48"/>
      <c r="I19" s="48"/>
      <c r="J19" s="48"/>
      <c r="K19" s="48"/>
      <c r="M19" s="50"/>
      <c r="N19" s="50"/>
      <c r="O19" s="50"/>
      <c r="S19"/>
      <c r="T19"/>
    </row>
    <row r="20" spans="1:20" ht="31.5" customHeight="1">
      <c r="A20" s="61" t="s">
        <v>751</v>
      </c>
      <c r="B20" s="48"/>
      <c r="C20" s="48"/>
      <c r="D20" s="378"/>
      <c r="E20" s="48"/>
      <c r="F20" s="48"/>
      <c r="G20" s="48"/>
      <c r="H20" s="48"/>
      <c r="I20" s="48"/>
      <c r="J20" s="48">
        <v>29</v>
      </c>
      <c r="K20" s="48"/>
      <c r="M20" s="50"/>
      <c r="N20" s="50"/>
      <c r="O20" s="50"/>
      <c r="P20" s="50"/>
      <c r="Q20" s="50"/>
      <c r="S20"/>
      <c r="T20"/>
    </row>
    <row r="21" spans="1:20" ht="45">
      <c r="A21" s="188" t="s">
        <v>729</v>
      </c>
      <c r="B21" s="48"/>
      <c r="C21" s="48"/>
      <c r="D21" s="48"/>
      <c r="E21" s="48"/>
      <c r="F21" s="48"/>
      <c r="G21" s="48"/>
      <c r="H21" s="48">
        <v>1350</v>
      </c>
      <c r="I21" s="48"/>
      <c r="J21" s="48"/>
      <c r="K21" s="48"/>
      <c r="M21" s="50"/>
      <c r="N21" s="50"/>
      <c r="O21" s="50"/>
      <c r="P21" s="50"/>
      <c r="Q21" s="50"/>
      <c r="S21"/>
      <c r="T21"/>
    </row>
    <row r="22" spans="1:20" ht="45">
      <c r="A22" s="188" t="s">
        <v>769</v>
      </c>
      <c r="B22" s="48"/>
      <c r="C22" s="48">
        <v>588</v>
      </c>
      <c r="D22" s="378"/>
      <c r="E22" s="378"/>
      <c r="F22" s="48"/>
      <c r="G22" s="48"/>
      <c r="H22" s="48"/>
      <c r="I22" s="48"/>
      <c r="J22" s="48"/>
      <c r="K22" s="48"/>
      <c r="M22" s="50"/>
      <c r="N22" s="50"/>
      <c r="O22" s="50"/>
      <c r="P22" s="50"/>
      <c r="Q22" s="50"/>
      <c r="S22"/>
      <c r="T22"/>
    </row>
    <row r="23" spans="1:20" ht="60">
      <c r="A23" s="602" t="s">
        <v>824</v>
      </c>
      <c r="B23" s="48"/>
      <c r="C23" s="48">
        <v>-21</v>
      </c>
      <c r="D23" s="378"/>
      <c r="E23" s="378"/>
      <c r="F23" s="48"/>
      <c r="G23" s="48"/>
      <c r="H23" s="48"/>
      <c r="I23" s="48"/>
      <c r="J23" s="48"/>
      <c r="K23" s="48"/>
      <c r="M23" s="50"/>
      <c r="N23" s="50"/>
      <c r="O23" s="50"/>
      <c r="P23" s="50"/>
      <c r="Q23" s="50"/>
      <c r="S23"/>
      <c r="T23"/>
    </row>
    <row r="24" spans="1:20" ht="30">
      <c r="A24" s="601" t="s">
        <v>823</v>
      </c>
      <c r="B24" s="48"/>
      <c r="C24" s="48"/>
      <c r="D24" s="378"/>
      <c r="E24" s="378"/>
      <c r="F24" s="48">
        <v>-3</v>
      </c>
      <c r="G24" s="48"/>
      <c r="H24" s="48">
        <v>-76</v>
      </c>
      <c r="I24" s="48"/>
      <c r="J24" s="48">
        <v>-6</v>
      </c>
      <c r="K24" s="48"/>
      <c r="M24" s="50"/>
      <c r="N24" s="50"/>
      <c r="O24" s="50"/>
      <c r="P24" s="50"/>
      <c r="Q24" s="50"/>
      <c r="S24"/>
      <c r="T24"/>
    </row>
    <row r="25" spans="1:20" ht="47.25" outlineLevel="1">
      <c r="A25" s="572" t="s">
        <v>810</v>
      </c>
      <c r="B25" s="38"/>
      <c r="C25" s="38">
        <v>-46</v>
      </c>
      <c r="D25" s="38"/>
      <c r="E25" s="38"/>
      <c r="F25" s="38">
        <v>46</v>
      </c>
      <c r="G25" s="298"/>
      <c r="H25" s="250"/>
      <c r="I25" s="250"/>
      <c r="J25" s="38"/>
      <c r="K25" s="38"/>
      <c r="M25" s="47"/>
      <c r="N25" s="50"/>
      <c r="O25" s="50"/>
      <c r="P25" s="50"/>
      <c r="Q25" s="50"/>
      <c r="S25"/>
      <c r="T25"/>
    </row>
    <row r="26" spans="1:20" ht="15">
      <c r="A26" s="55" t="s">
        <v>224</v>
      </c>
      <c r="B26" s="54">
        <f aca="true" t="shared" si="2" ref="B26:J26">SUM(B17:B25)</f>
        <v>0</v>
      </c>
      <c r="C26" s="54">
        <f>SUM(C17:C25)</f>
        <v>521</v>
      </c>
      <c r="D26" s="54">
        <f t="shared" si="2"/>
        <v>0</v>
      </c>
      <c r="E26" s="54">
        <f t="shared" si="2"/>
        <v>0</v>
      </c>
      <c r="F26" s="54">
        <f t="shared" si="2"/>
        <v>-9327</v>
      </c>
      <c r="G26" s="54">
        <f t="shared" si="2"/>
        <v>0</v>
      </c>
      <c r="H26" s="54">
        <f t="shared" si="2"/>
        <v>1274</v>
      </c>
      <c r="I26" s="54">
        <f t="shared" si="2"/>
        <v>0</v>
      </c>
      <c r="J26" s="54">
        <f t="shared" si="2"/>
        <v>23</v>
      </c>
      <c r="K26" s="54">
        <f>SUM(K17:K25)</f>
        <v>0</v>
      </c>
      <c r="M26" s="47"/>
      <c r="N26" s="50"/>
      <c r="O26" s="50"/>
      <c r="P26" s="50"/>
      <c r="Q26" s="50"/>
      <c r="S26"/>
      <c r="T26"/>
    </row>
    <row r="27" ht="15">
      <c r="F27" s="75"/>
    </row>
    <row r="29" spans="12:17" ht="12.75">
      <c r="L29" s="56"/>
      <c r="Q29" s="71"/>
    </row>
    <row r="30" ht="12.75">
      <c r="Q30" s="71"/>
    </row>
    <row r="31" ht="12.75">
      <c r="Q31" s="71"/>
    </row>
    <row r="32" ht="12.75">
      <c r="Q32" s="71"/>
    </row>
    <row r="33" ht="12.75">
      <c r="Q33" s="71"/>
    </row>
    <row r="34" ht="12.75">
      <c r="Q34" s="71"/>
    </row>
    <row r="35" ht="12.75">
      <c r="Q35" s="71"/>
    </row>
    <row r="36" ht="12.75">
      <c r="Q36" s="71"/>
    </row>
  </sheetData>
  <sheetProtection/>
  <printOptions/>
  <pageMargins left="0" right="0" top="0.5905511811023623" bottom="0.5905511811023623" header="0.5118110236220472" footer="0.5118110236220472"/>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B33" sqref="B3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68"/>
  <sheetViews>
    <sheetView zoomScale="115" zoomScaleNormal="115" zoomScalePageLayoutView="0" workbookViewId="0" topLeftCell="A1">
      <selection activeCell="A68" sqref="A68"/>
    </sheetView>
  </sheetViews>
  <sheetFormatPr defaultColWidth="9.140625" defaultRowHeight="12.75"/>
  <cols>
    <col min="1" max="1" width="9.140625" style="56" customWidth="1"/>
  </cols>
  <sheetData>
    <row r="1" ht="12.75">
      <c r="A1" s="506">
        <v>160698</v>
      </c>
    </row>
    <row r="2" ht="12.75">
      <c r="A2" s="56">
        <v>45788</v>
      </c>
    </row>
    <row r="3" ht="12.75">
      <c r="A3" s="56">
        <v>23648</v>
      </c>
    </row>
    <row r="4" ht="12.75">
      <c r="A4" s="56">
        <v>49835</v>
      </c>
    </row>
    <row r="5" ht="12.75">
      <c r="A5" s="56">
        <v>56534</v>
      </c>
    </row>
    <row r="6" ht="12.75">
      <c r="A6" s="56">
        <v>57063</v>
      </c>
    </row>
    <row r="7" ht="12.75">
      <c r="A7" s="56">
        <v>3356</v>
      </c>
    </row>
    <row r="8" ht="12.75">
      <c r="A8" s="56">
        <v>108138</v>
      </c>
    </row>
    <row r="9" ht="12.75">
      <c r="A9" s="56">
        <v>4040</v>
      </c>
    </row>
    <row r="10" ht="12.75">
      <c r="A10" s="56">
        <v>2500</v>
      </c>
    </row>
    <row r="11" ht="12.75">
      <c r="A11" s="56">
        <v>31568</v>
      </c>
    </row>
    <row r="12" ht="12.75">
      <c r="A12" s="56">
        <v>1364</v>
      </c>
    </row>
    <row r="13" spans="1:5" ht="12.75">
      <c r="A13" s="56">
        <v>142212</v>
      </c>
      <c r="E13" s="49"/>
    </row>
    <row r="14" ht="12.75">
      <c r="A14" s="56">
        <v>2404</v>
      </c>
    </row>
    <row r="15" ht="12.75">
      <c r="A15" s="56">
        <v>3288</v>
      </c>
    </row>
    <row r="16" ht="12.75">
      <c r="A16" s="56">
        <v>2096</v>
      </c>
    </row>
    <row r="17" ht="12.75">
      <c r="A17" s="56">
        <v>77205</v>
      </c>
    </row>
    <row r="18" ht="12.75">
      <c r="A18" s="56">
        <v>5748</v>
      </c>
    </row>
    <row r="19" ht="12.75">
      <c r="A19" s="56">
        <v>36443</v>
      </c>
    </row>
    <row r="20" ht="12.75">
      <c r="A20" s="56">
        <v>2812</v>
      </c>
    </row>
    <row r="21" ht="12.75">
      <c r="A21" s="56">
        <v>48258</v>
      </c>
    </row>
    <row r="22" ht="12.75">
      <c r="A22" s="56">
        <v>21235</v>
      </c>
    </row>
    <row r="23" ht="12.75">
      <c r="A23" s="56">
        <v>45116</v>
      </c>
    </row>
    <row r="24" ht="12.75">
      <c r="A24" s="56">
        <v>6764</v>
      </c>
    </row>
    <row r="25" ht="12.75">
      <c r="A25" s="56">
        <v>20313</v>
      </c>
    </row>
    <row r="26" ht="12.75">
      <c r="A26" s="56">
        <v>43020</v>
      </c>
    </row>
    <row r="27" ht="12.75">
      <c r="A27" s="56">
        <v>35144</v>
      </c>
    </row>
    <row r="28" ht="12.75">
      <c r="A28" s="56">
        <v>41748</v>
      </c>
    </row>
    <row r="29" ht="12.75">
      <c r="A29" s="56">
        <v>42664</v>
      </c>
    </row>
    <row r="30" ht="12.75">
      <c r="A30" s="56">
        <v>44100</v>
      </c>
    </row>
    <row r="31" ht="12.75">
      <c r="A31" s="56">
        <v>39428</v>
      </c>
    </row>
    <row r="32" ht="12.75">
      <c r="A32" s="56">
        <v>64720</v>
      </c>
    </row>
    <row r="33" ht="12.75">
      <c r="A33" s="56">
        <v>27808</v>
      </c>
    </row>
    <row r="34" ht="12.75">
      <c r="A34" s="56">
        <v>22012</v>
      </c>
    </row>
    <row r="35" ht="12.75">
      <c r="A35" s="56">
        <v>2600</v>
      </c>
    </row>
    <row r="36" ht="12.75">
      <c r="A36" s="56">
        <v>4800</v>
      </c>
    </row>
    <row r="37" ht="12.75">
      <c r="A37" s="56">
        <v>1424</v>
      </c>
    </row>
    <row r="38" ht="12.75">
      <c r="A38" s="56">
        <v>10392</v>
      </c>
    </row>
    <row r="39" ht="12.75">
      <c r="A39" s="56">
        <v>12104</v>
      </c>
    </row>
    <row r="40" ht="12.75">
      <c r="A40" s="56">
        <v>17244</v>
      </c>
    </row>
    <row r="41" ht="12.75">
      <c r="A41" s="56">
        <v>5072</v>
      </c>
    </row>
    <row r="42" ht="12.75">
      <c r="A42" s="56">
        <v>32984</v>
      </c>
    </row>
    <row r="43" ht="12.75">
      <c r="A43" s="56">
        <v>5090</v>
      </c>
    </row>
    <row r="44" ht="12.75">
      <c r="A44" s="56">
        <v>7107</v>
      </c>
    </row>
    <row r="45" ht="12.75">
      <c r="A45" s="56">
        <v>12988</v>
      </c>
    </row>
    <row r="46" ht="12.75">
      <c r="A46" s="56">
        <v>979</v>
      </c>
    </row>
    <row r="47" ht="12.75">
      <c r="A47" s="56">
        <v>68568</v>
      </c>
    </row>
    <row r="48" ht="12.75">
      <c r="A48" s="56">
        <v>64600</v>
      </c>
    </row>
    <row r="49" ht="12.75">
      <c r="A49" s="56">
        <v>868</v>
      </c>
    </row>
    <row r="50" ht="12.75">
      <c r="A50" s="56">
        <v>7028</v>
      </c>
    </row>
    <row r="51" ht="12.75">
      <c r="A51" s="56">
        <v>12988</v>
      </c>
    </row>
    <row r="52" ht="12.75">
      <c r="A52" s="56">
        <v>18761</v>
      </c>
    </row>
    <row r="53" ht="12.75">
      <c r="A53" s="56">
        <v>8419</v>
      </c>
    </row>
    <row r="54" ht="12.75">
      <c r="A54" s="56">
        <v>49610</v>
      </c>
    </row>
    <row r="55" ht="12.75">
      <c r="A55" s="56">
        <v>40886</v>
      </c>
    </row>
    <row r="56" ht="12.75">
      <c r="A56" s="56">
        <v>22193</v>
      </c>
    </row>
    <row r="57" ht="12.75">
      <c r="A57" s="56">
        <v>5433</v>
      </c>
    </row>
    <row r="58" ht="12.75">
      <c r="A58" s="56">
        <v>2878</v>
      </c>
    </row>
    <row r="59" ht="12.75">
      <c r="A59" s="56">
        <v>924390</v>
      </c>
    </row>
    <row r="60" ht="12.75">
      <c r="A60" s="56">
        <v>3954</v>
      </c>
    </row>
    <row r="61" ht="12.75">
      <c r="A61" s="56">
        <v>3300</v>
      </c>
    </row>
    <row r="62" ht="12.75">
      <c r="A62" s="56">
        <v>7200</v>
      </c>
    </row>
    <row r="63" ht="12.75">
      <c r="A63" s="56">
        <v>4082</v>
      </c>
    </row>
    <row r="64" ht="12.75">
      <c r="A64" s="56">
        <v>1112557</v>
      </c>
    </row>
    <row r="65" ht="12.75">
      <c r="A65" s="56">
        <v>4001</v>
      </c>
    </row>
    <row r="66" ht="12.75">
      <c r="A66" s="56">
        <v>15845</v>
      </c>
    </row>
    <row r="67" ht="12.75">
      <c r="A67" s="56">
        <v>2575</v>
      </c>
    </row>
    <row r="68" ht="12.75">
      <c r="A68" s="507">
        <f>SUM(A1:A67)</f>
        <v>3811990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Ogres novada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 Velberga</dc:creator>
  <cp:keywords/>
  <dc:description/>
  <cp:lastModifiedBy>Maija Ozola</cp:lastModifiedBy>
  <cp:lastPrinted>2018-12-27T08:02:01Z</cp:lastPrinted>
  <dcterms:created xsi:type="dcterms:W3CDTF">2006-04-20T10:34:24Z</dcterms:created>
  <dcterms:modified xsi:type="dcterms:W3CDTF">2019-01-11T12:44:57Z</dcterms:modified>
  <cp:category/>
  <cp:version/>
  <cp:contentType/>
  <cp:contentStatus/>
</cp:coreProperties>
</file>