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matbudžets_pielik.Nr.1" sheetId="1" r:id="rId1"/>
    <sheet name="Pamatbudžets_pielik.Nr.2" sheetId="2" r:id="rId2"/>
  </sheets>
  <definedNames/>
  <calcPr fullCalcOnLoad="1"/>
</workbook>
</file>

<file path=xl/sharedStrings.xml><?xml version="1.0" encoding="utf-8"?>
<sst xmlns="http://schemas.openxmlformats.org/spreadsheetml/2006/main" count="682" uniqueCount="640">
  <si>
    <t xml:space="preserve">   </t>
  </si>
  <si>
    <t>Pielikums Nr.1</t>
  </si>
  <si>
    <t>Ogres novada pašvaldības domes</t>
  </si>
  <si>
    <t>Kods</t>
  </si>
  <si>
    <t xml:space="preserve">Pozīcijas nosaukums             </t>
  </si>
  <si>
    <t>Aģentūra “Tūrisma, sporta un atpūtas kompleksa “ZILIE KALNI” attīstības aģentūra"</t>
  </si>
  <si>
    <t>Nodokļu ieņēmumi</t>
  </si>
  <si>
    <t>1.1.1.0.</t>
  </si>
  <si>
    <t>Ieņēmumi no iedzīvotāju ienākuma nodokļa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</si>
  <si>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</si>
  <si>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</si>
  <si>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</si>
  <si>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</si>
  <si>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</si>
  <si>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</si>
  <si>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4.1.2.0.</t>
  </si>
  <si>
    <t xml:space="preserve">Nekustamā īpašuma nodoklis par ēkām </t>
  </si>
  <si>
    <t>4.1.3.0.</t>
  </si>
  <si>
    <t>Nekustamā īpašuma nodoklis par mājokļiem</t>
  </si>
  <si>
    <t>5.4.1.0.</t>
  </si>
  <si>
    <t>Azartspēļu nodoklis</t>
  </si>
  <si>
    <t>5.5.3.0.</t>
  </si>
  <si>
    <t>Dabas resursu nodoklis</t>
  </si>
  <si>
    <t>Nenodokļu ieņēmumi</t>
  </si>
  <si>
    <t>8.3.0.0.</t>
  </si>
  <si>
    <t>Īeņēmumi no dividendēm</t>
  </si>
  <si>
    <t>8.6.0.0.</t>
  </si>
  <si>
    <t>Procentu ieņēmumi par depozītiem, kontu atlikumiem un vērtpapīriem</t>
  </si>
  <si>
    <t>9.4.0.0.</t>
  </si>
  <si>
    <t>Valsts nodevas, kuras ieskaita pašvaldību budžetā</t>
  </si>
  <si>
    <t>9.5.0.0.</t>
  </si>
  <si>
    <t>Pašvaldību nodevas</t>
  </si>
  <si>
    <t>10.1.0.0.</t>
  </si>
  <si>
    <t>Naudas sodi</t>
  </si>
  <si>
    <t>12.0.0.0.</t>
  </si>
  <si>
    <t>Pārējie nenodokļu ieņēmumi</t>
  </si>
  <si>
    <t>13.0.0.0.</t>
  </si>
  <si>
    <t>Ieņēmumi no pašvaldības īpašuma iznomāšanas, pārdošanas un nodokļu pamatp.kapitaliz.</t>
  </si>
  <si>
    <t>17.2.0.0.</t>
  </si>
  <si>
    <t>Pašvaldību saņemtie transferti no valsts budžeta daļēji finansētām atvasinātām publiskām personām un no budžeta nefinansētām iestādēm</t>
  </si>
  <si>
    <t>18.0.0.0.</t>
  </si>
  <si>
    <t>Valsts budžeta transferti</t>
  </si>
  <si>
    <t>18.6.0.0.</t>
  </si>
  <si>
    <t>Pašvaldību saņemtie transferti no valsts budžeta</t>
  </si>
  <si>
    <t>19.0.0.0.</t>
  </si>
  <si>
    <t>Pašvaldību budžetu transferti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</si>
  <si>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</si>
  <si>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</si>
  <si>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</si>
  <si>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</si>
  <si>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19.3.0.0.</t>
  </si>
  <si>
    <t xml:space="preserve">Pašvaldības un tās iestāžu savstarpējie transferti </t>
  </si>
  <si>
    <t>21.0.0.0.</t>
  </si>
  <si>
    <t>Budžeta iestāžu ieņēmumi</t>
  </si>
  <si>
    <t>21.1.0.0.</t>
  </si>
  <si>
    <t xml:space="preserve">Budžeta iestādes ieņēmumi no ārvalstu finanšu palīdzības </t>
  </si>
  <si>
    <t>21.3.0.0.</t>
  </si>
  <si>
    <t>Ieņēmumi no budžeta iestāžu sniegtajiem maksas pakalpojumiem un citi pašu ieņēmumi</t>
  </si>
  <si>
    <t>21.3.4.0.</t>
  </si>
  <si>
    <t>Procentu ieņēmumi par maksas pakalpojumiem un pašu ieguldījumiem depozītā</t>
  </si>
  <si>
    <t>21.3.5.0.</t>
  </si>
  <si>
    <t>Maksa par izglītības pakalpojumiem</t>
  </si>
  <si>
    <t>21.3.7.0.</t>
  </si>
  <si>
    <t>Ieņēmumi par 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</si>
  <si>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</si>
  <si>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</si>
  <si>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</si>
  <si>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</si>
  <si>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>21.4.9.0</t>
  </si>
  <si>
    <t>Pārējie iepriekš neklasificētie pašu ieņēmumi</t>
  </si>
  <si>
    <t>KOPĀ IEŅĒMUMI</t>
  </si>
  <si>
    <t>F40 02 00 10</t>
  </si>
  <si>
    <t>Valsts kases aizņēmumi</t>
  </si>
  <si>
    <t>Kopā ar kredītresursiem:</t>
  </si>
  <si>
    <t>F20010000 AS</t>
  </si>
  <si>
    <t>Kapitālieguldījumu fondu akcijas</t>
  </si>
  <si>
    <t>Kopā ar budžeta atlikumu</t>
  </si>
  <si>
    <t>Budžeta nodaļas vadītāja</t>
  </si>
  <si>
    <t>S.Velberga</t>
  </si>
  <si>
    <t>Pielikums Nr.2</t>
  </si>
  <si>
    <t>01.000</t>
  </si>
  <si>
    <t>Vispārējie valdības dienesti</t>
  </si>
  <si>
    <t>01.100</t>
  </si>
  <si>
    <t xml:space="preserve">Izpildvaras un likumdošanas varas  institūcijas </t>
  </si>
  <si>
    <t>01.300</t>
  </si>
  <si>
    <t>Pārējo vispārējas  nozīmes dienestu darbība un pakalpojumi</t>
  </si>
  <si>
    <t>01.720</t>
  </si>
  <si>
    <t>Pašvaldību budžetu parāda darījumi</t>
  </si>
  <si>
    <t>01.721</t>
  </si>
  <si>
    <t>Pašvaldību budžetu valsts iekšējā parāda darījumi</t>
  </si>
  <si>
    <t>Vispārēja rakstura transferti no pašvaldību budžeta valsts budžetam</t>
  </si>
  <si>
    <t>01.830</t>
  </si>
  <si>
    <t>Vispārēja rakstura transferti no pašvaldību budžeta pašvaldību budžetam</t>
  </si>
  <si>
    <t>01.83011</t>
  </si>
  <si>
    <t>Norēķini ar citu pašvaldību izglītības iestādēm</t>
  </si>
  <si>
    <t>01.890</t>
  </si>
  <si>
    <t xml:space="preserve">Izdevumi neparedzētiem gadījumiem </t>
  </si>
  <si>
    <t>03.000</t>
  </si>
  <si>
    <t>Sabiedriskā kārtība un drošība</t>
  </si>
  <si>
    <t>03.110</t>
  </si>
  <si>
    <t>Pašvaldības policija</t>
  </si>
  <si>
    <t>03.200</t>
  </si>
  <si>
    <t>Ugunsdrošības, glābšanas un civilās drošības dienesti</t>
  </si>
  <si>
    <t>03.2001</t>
  </si>
  <si>
    <t>Civilās aizsardzības pasākumi (COVID-19 izdevumi)</t>
  </si>
  <si>
    <t>Pārējie sabiedriskās kārtības un drošības pakalpojumi (Video novērošanai)</t>
  </si>
  <si>
    <t>03.6002</t>
  </si>
  <si>
    <t>Atskurbtuves pakalpojumiem</t>
  </si>
  <si>
    <t>04.000</t>
  </si>
  <si>
    <t>Ekonomiskā darbība</t>
  </si>
  <si>
    <t>04.111</t>
  </si>
  <si>
    <t>Vispārējas ekonomiskas darbības vadība</t>
  </si>
  <si>
    <t>04.11101</t>
  </si>
  <si>
    <t>Uzņēmējdarbības  attīstības veicināšanai</t>
  </si>
  <si>
    <t>04.11102</t>
  </si>
  <si>
    <t>Projektu pieteikumu izstrāde, tehniskās dokumentācijas sagatavošana</t>
  </si>
  <si>
    <t>04.11103</t>
  </si>
  <si>
    <t>Informatīvi pasākumi uzņēmējiem</t>
  </si>
  <si>
    <t>04.11104</t>
  </si>
  <si>
    <t>Madlienas tirgus būvniecība</t>
  </si>
  <si>
    <t>04.11116</t>
  </si>
  <si>
    <t>Ogres novadnieka karte</t>
  </si>
  <si>
    <t>04.220</t>
  </si>
  <si>
    <t>Mežsaimniecība un medniecība</t>
  </si>
  <si>
    <t>04.4301</t>
  </si>
  <si>
    <t>Būvvalde</t>
  </si>
  <si>
    <t>04.510</t>
  </si>
  <si>
    <t>Autotransports</t>
  </si>
  <si>
    <t>04.510010</t>
  </si>
  <si>
    <t xml:space="preserve">Ceļu būvniecībai un remontiem </t>
  </si>
  <si>
    <t>04.510011</t>
  </si>
  <si>
    <t>04.510012</t>
  </si>
  <si>
    <t>Ceļu būvniecībai un remontiem Ķeguma Birzgales pagasts</t>
  </si>
  <si>
    <t>04.510013</t>
  </si>
  <si>
    <t>Ceļu būvniecībai un remontiem Lielvārde</t>
  </si>
  <si>
    <t>04.510014</t>
  </si>
  <si>
    <t xml:space="preserve">Ceļu būvniecībai un remontiem Lielvārdes Lēdmanes pagasts </t>
  </si>
  <si>
    <t>04.510015</t>
  </si>
  <si>
    <t>Ceļu būvniecībai un remontiem Lielvārdes Jumpravas pagasts</t>
  </si>
  <si>
    <t>04.510016</t>
  </si>
  <si>
    <t>04.51004</t>
  </si>
  <si>
    <t>Pārējais autotransports</t>
  </si>
  <si>
    <t>04.51045</t>
  </si>
  <si>
    <t>04.51047</t>
  </si>
  <si>
    <t>04.51049</t>
  </si>
  <si>
    <t>Ietves izbūve Jāņa Čakstes prospekta posmā no Mazās Ķentes ielas līdz Skalbju ielai, Ogrē projektēšana un autoruzraudzība</t>
  </si>
  <si>
    <t>04.51050</t>
  </si>
  <si>
    <t>Vēju ielas seguma atjaunošana un lietus ūdens kanalizācijas sistēmas izveide būvprojekta izstrāde un autoruzraudzība</t>
  </si>
  <si>
    <t>04.51051</t>
  </si>
  <si>
    <t>04.51052</t>
  </si>
  <si>
    <t>04.51053</t>
  </si>
  <si>
    <t xml:space="preserve">Rotācijas apļu, Ogrē izbūves būvprojekta izstrāde un autoruzraudzība </t>
  </si>
  <si>
    <t>04.51054</t>
  </si>
  <si>
    <t>Skolas ielas (no Pirts ielas līdz Jaunogres prospektam), Ogrē pārbūves būvprojekta izstrāde un autoruzraudzība</t>
  </si>
  <si>
    <t>04.51055</t>
  </si>
  <si>
    <t>Veloceliņa uz Lielvārdi projektēšana</t>
  </si>
  <si>
    <t>04.600</t>
  </si>
  <si>
    <t>Sakari</t>
  </si>
  <si>
    <t>04.6001</t>
  </si>
  <si>
    <t>Publisko interneta pieejas punktu attīstība</t>
  </si>
  <si>
    <t>04.7301</t>
  </si>
  <si>
    <t>04.7302</t>
  </si>
  <si>
    <t>“Tūrisma, sporta un atpūtas komplekss“ ZILIE KALNI”</t>
  </si>
  <si>
    <t>04.7303</t>
  </si>
  <si>
    <t>Kultūras mantojuma centrs "Tīnūžu muiža"</t>
  </si>
  <si>
    <t>05.000</t>
  </si>
  <si>
    <t>Vides aizsardzība</t>
  </si>
  <si>
    <t>05.100</t>
  </si>
  <si>
    <t>Atkritumu apsaimniekošana</t>
  </si>
  <si>
    <t>05.1001</t>
  </si>
  <si>
    <t>Ielu tīrīšanai, atkritumu savākšanai,teritoriju labiekārtošanai</t>
  </si>
  <si>
    <t>05.1007</t>
  </si>
  <si>
    <t>Koncesija atkritumu apsaimniekošana</t>
  </si>
  <si>
    <t>05.200</t>
  </si>
  <si>
    <t>Notekūdeņu apsaimniekošana</t>
  </si>
  <si>
    <t>05.2001</t>
  </si>
  <si>
    <t xml:space="preserve">Lietus ūdens kanalizācija </t>
  </si>
  <si>
    <t>05.2002</t>
  </si>
  <si>
    <t>Notekūdeņu (savākšana un attīrīšana)</t>
  </si>
  <si>
    <t>05.2003</t>
  </si>
  <si>
    <t>Meliorācijas sistēmu pārbūve Ogres novada Ogresgala pagasta Ciemupes ciema Zvejnieku, Celmlaužu, Daugavas un Krasta ielas rajonā</t>
  </si>
  <si>
    <t>05.300</t>
  </si>
  <si>
    <t>Vides piesārņojuma novēršana un samazināšana</t>
  </si>
  <si>
    <t>05.30017</t>
  </si>
  <si>
    <t>Ēkas Skolas ielā 4, Ikšķilē, energoefektivitātes uzlabošana un pārbūve par pašvaldības daudzfunkcionālu pakalpojumu centru</t>
  </si>
  <si>
    <t>05.400</t>
  </si>
  <si>
    <t>Bioloģiskās daudzveidības un ainavas aizsardzība</t>
  </si>
  <si>
    <t>05.4001</t>
  </si>
  <si>
    <t>06.000</t>
  </si>
  <si>
    <t>Pašvaldības teritoriju un mājokļu apsaimniekošana</t>
  </si>
  <si>
    <t>06.2001</t>
  </si>
  <si>
    <t>Teritoriju attīstība ( projektēšanai )</t>
  </si>
  <si>
    <t>06.300</t>
  </si>
  <si>
    <t>Ūdensapgāde</t>
  </si>
  <si>
    <t>06.3001</t>
  </si>
  <si>
    <t>Vispārējie ūdens apgādes izdevumi</t>
  </si>
  <si>
    <t>Ielu apgaismošana</t>
  </si>
  <si>
    <t>06.600</t>
  </si>
  <si>
    <t>Pārējā citur nekvalificētā pašvaldību teritoriju un mājokļu apsaimniekošanas darbība</t>
  </si>
  <si>
    <t>06.60001</t>
  </si>
  <si>
    <t>Mājokļu apsaimniekošana</t>
  </si>
  <si>
    <t>06.60002</t>
  </si>
  <si>
    <t>Siltumapgāde</t>
  </si>
  <si>
    <t>06.60003</t>
  </si>
  <si>
    <t>Kapu saimniecība</t>
  </si>
  <si>
    <t>06.60006</t>
  </si>
  <si>
    <t>Projektu konkurss "Veidojam vidi ap mums Ogres novadā"</t>
  </si>
  <si>
    <t>06.60007</t>
  </si>
  <si>
    <t>Īpašumu uzmērīšanai un reģistrēšanai Zemesgrāmatā</t>
  </si>
  <si>
    <t>06.60008</t>
  </si>
  <si>
    <t>Pārējie izdevumi</t>
  </si>
  <si>
    <t>06.60009</t>
  </si>
  <si>
    <t>Nevalstisko organizāciju projektu atbalstam</t>
  </si>
  <si>
    <t>06.60010</t>
  </si>
  <si>
    <t>Saimniecības nodaļa</t>
  </si>
  <si>
    <t>06.60012</t>
  </si>
  <si>
    <t>Pašvaldības teritoriju labiekārtošana</t>
  </si>
  <si>
    <t>06.600121</t>
  </si>
  <si>
    <t>Ogres pilsētā un Ogresgala pārvaldē</t>
  </si>
  <si>
    <t>06.600122</t>
  </si>
  <si>
    <t>Lēdmanes pārvaldē</t>
  </si>
  <si>
    <t>06.600123</t>
  </si>
  <si>
    <t>Jumpravas pārvaldē</t>
  </si>
  <si>
    <t>06.600124</t>
  </si>
  <si>
    <t>Lielvārdes pārvaldē</t>
  </si>
  <si>
    <t>06.600125</t>
  </si>
  <si>
    <t>Birzgale pārvaldē</t>
  </si>
  <si>
    <t>06.600126</t>
  </si>
  <si>
    <t>Tomes pārvaldē</t>
  </si>
  <si>
    <t>06.600127</t>
  </si>
  <si>
    <t>Rembates pārvaldē</t>
  </si>
  <si>
    <t>06.600128</t>
  </si>
  <si>
    <t>Ķeguma pārvaldē</t>
  </si>
  <si>
    <t>06.600129</t>
  </si>
  <si>
    <t>06.60022</t>
  </si>
  <si>
    <t>SIA Ogres namsaimnieks finansējums domes deliģēto funkciju izpildei</t>
  </si>
  <si>
    <t>06.60017</t>
  </si>
  <si>
    <t>SIA Ikšķiles māja finansējums domes deliģēto funkciju izpildei</t>
  </si>
  <si>
    <t>06.60024</t>
  </si>
  <si>
    <t>SIA Lielvārdes Remte- finansējums domes deliģētās funkcijas izpildei</t>
  </si>
  <si>
    <t>06.60025</t>
  </si>
  <si>
    <t>SIA Ķeguma Stars- finansējums domes deliģētās funkcijas izpildei</t>
  </si>
  <si>
    <t>06.60029</t>
  </si>
  <si>
    <t>Tirgus laukuma Suntažos uzturēšanai</t>
  </si>
  <si>
    <t>06.60031</t>
  </si>
  <si>
    <t>Projekts "Sugu un biotopu stāvokļa uzlabošanas pasākumi īpaši aizsargājamajā dabas teritorijā "Ogres ieleja""</t>
  </si>
  <si>
    <t>06.60041</t>
  </si>
  <si>
    <t xml:space="preserve">E.Kauliņa skulptūra, muzikālais soliņš </t>
  </si>
  <si>
    <t>07.000</t>
  </si>
  <si>
    <t>Veselība</t>
  </si>
  <si>
    <t>07.210</t>
  </si>
  <si>
    <t>Ambulatorās ārstniecības iestādes</t>
  </si>
  <si>
    <t>07.2101</t>
  </si>
  <si>
    <t xml:space="preserve">Ģimenes ārstu prakse </t>
  </si>
  <si>
    <t>07.4501</t>
  </si>
  <si>
    <t>SAM 9.2.4.2. Pasākumi vietējās sabiedrības slimību profilaksei un veselības veicināšanai</t>
  </si>
  <si>
    <t>07.4502</t>
  </si>
  <si>
    <t xml:space="preserve">Veselības veicināšanas pasākumiem </t>
  </si>
  <si>
    <t>07.4504</t>
  </si>
  <si>
    <t>Pakalpojumu infrastruktūras attīstība deinstitucionalizācijas plānu īstenošanai Vienošanās Nr. 9.3.1.1/19/I/023</t>
  </si>
  <si>
    <t>08.000</t>
  </si>
  <si>
    <t>Atpūta, kultūra un reliģija</t>
  </si>
  <si>
    <t>08.100</t>
  </si>
  <si>
    <t>Atpūtas un sporta  pasākumi</t>
  </si>
  <si>
    <t>08.1001</t>
  </si>
  <si>
    <t xml:space="preserve"> Sporta pasākumu rīkošanai </t>
  </si>
  <si>
    <t>08.1002</t>
  </si>
  <si>
    <t>08.1004</t>
  </si>
  <si>
    <t>Struktūrvienība peldbaseins  "Neptūns"</t>
  </si>
  <si>
    <t>08.200</t>
  </si>
  <si>
    <t>Kultūra</t>
  </si>
  <si>
    <t>08.210</t>
  </si>
  <si>
    <t xml:space="preserve">    Bibliotēkas </t>
  </si>
  <si>
    <t>08.2101</t>
  </si>
  <si>
    <t>Ogres centrālā bibliotēka</t>
  </si>
  <si>
    <t>08.2102</t>
  </si>
  <si>
    <t>Pagastu bibliotēkas</t>
  </si>
  <si>
    <t>08.2103</t>
  </si>
  <si>
    <t>Ikšķiles pilsētas bibliotēka</t>
  </si>
  <si>
    <t>08.2104</t>
  </si>
  <si>
    <t>Tīnūžu bibliotēka</t>
  </si>
  <si>
    <t>08.2105</t>
  </si>
  <si>
    <t>Ķeguma pilsētas bibliotēka (tai skaitā Ķegums, Tome, Rembate)</t>
  </si>
  <si>
    <t>08.2106</t>
  </si>
  <si>
    <t>Birzgales bibliotēka</t>
  </si>
  <si>
    <t>08.2107</t>
  </si>
  <si>
    <t>Jumpravas bibliotēka</t>
  </si>
  <si>
    <t>08.2108</t>
  </si>
  <si>
    <t>Lēdmanes bibliotēka</t>
  </si>
  <si>
    <t>08.2109</t>
  </si>
  <si>
    <t>Lielvārdes pilsētas, Lāčplēša bibliotēka</t>
  </si>
  <si>
    <t>08.220</t>
  </si>
  <si>
    <t xml:space="preserve">    Muzeji un izstādes</t>
  </si>
  <si>
    <t>08.2202</t>
  </si>
  <si>
    <t>Ogres vēstures un mākslas muzejs</t>
  </si>
  <si>
    <t>08.2204</t>
  </si>
  <si>
    <t>Sudrabu Edžus memoriālā istaba</t>
  </si>
  <si>
    <t>08.2205</t>
  </si>
  <si>
    <t>A. Pumpura Lielvārdes muzejs</t>
  </si>
  <si>
    <t>08.2206</t>
  </si>
  <si>
    <t>Birzgales muzejs "Rūķi"</t>
  </si>
  <si>
    <t>08.2207</t>
  </si>
  <si>
    <t>Ķeguma novada muzejs</t>
  </si>
  <si>
    <t>08.230</t>
  </si>
  <si>
    <t xml:space="preserve">    Kultūras centri, nami</t>
  </si>
  <si>
    <t>08.2301</t>
  </si>
  <si>
    <t>Kultūras centri - tautas nami</t>
  </si>
  <si>
    <t>08.2302</t>
  </si>
  <si>
    <t>Finansējums  "Ogres novada kultūras centrs"</t>
  </si>
  <si>
    <t>08.2303</t>
  </si>
  <si>
    <t>Komunikāciju centrs Ķeipenē</t>
  </si>
  <si>
    <t>08.2304</t>
  </si>
  <si>
    <t>Ikšķiles tautas nams</t>
  </si>
  <si>
    <t>08.2305</t>
  </si>
  <si>
    <t>Tīnūžu tautas nams</t>
  </si>
  <si>
    <t>08.2306</t>
  </si>
  <si>
    <t>Lielvārdes kultūras centrs (tai skaitā Jumpravas un Lēdmanes)</t>
  </si>
  <si>
    <t>08.2307</t>
  </si>
  <si>
    <t>Ķeguma tautas nams</t>
  </si>
  <si>
    <t>08.2308</t>
  </si>
  <si>
    <t>Birzgales tautas nams</t>
  </si>
  <si>
    <t>08.2309</t>
  </si>
  <si>
    <t>Rembates tautas nams</t>
  </si>
  <si>
    <t>08.2310</t>
  </si>
  <si>
    <t>Tomes tautas nams</t>
  </si>
  <si>
    <t>08.290</t>
  </si>
  <si>
    <t>Pārējā citur neklasificētā kultūra</t>
  </si>
  <si>
    <t>08.29001</t>
  </si>
  <si>
    <t>Kultūras aktivitātes / pasākumi</t>
  </si>
  <si>
    <t>08.29002</t>
  </si>
  <si>
    <t>Pilsētas dekorēšana svētkiem</t>
  </si>
  <si>
    <t>08.29007</t>
  </si>
  <si>
    <t>Papildus aktivitātes  Ogres novada pašvaldības iestādēs (vasaras nometnes)</t>
  </si>
  <si>
    <t>08.29011</t>
  </si>
  <si>
    <t>Projektu konkurss RADI Ogres novadam (Kultūras, sporta un izglītības pasākumi, mācības, kursi)</t>
  </si>
  <si>
    <t>08.29026</t>
  </si>
  <si>
    <t>Ivestīciju projekts "Esošās ēkas rekonstrukcija Taurupes muižas klēts pārbūve"</t>
  </si>
  <si>
    <t>08.29027</t>
  </si>
  <si>
    <t>Ķeguma Dienas centrs</t>
  </si>
  <si>
    <t>08.29028</t>
  </si>
  <si>
    <t>Tomes  Dienas  centrs</t>
  </si>
  <si>
    <t>08.29031</t>
  </si>
  <si>
    <t>Ēkas ''Viļņi" pārbūve Ķeipenē</t>
  </si>
  <si>
    <t>08.29032</t>
  </si>
  <si>
    <t>Būvprojekta "Muzikālais teātris" izstrāde</t>
  </si>
  <si>
    <t>08.29033</t>
  </si>
  <si>
    <t>Investīciju projekts "Būvdarbu veikšana objektam "Estrāde", Jumprava, Jumpravas pagasts, Ogres novads</t>
  </si>
  <si>
    <t>08.300</t>
  </si>
  <si>
    <t>Apraides un izdevniecības pakalpojumi</t>
  </si>
  <si>
    <t>08.3101</t>
  </si>
  <si>
    <t>Televīzija</t>
  </si>
  <si>
    <t>08.3301</t>
  </si>
  <si>
    <t>Izdevniecība ( Novada informatīvie izdevumi )</t>
  </si>
  <si>
    <t>08.4001</t>
  </si>
  <si>
    <t>Reliģisko organizāciju un citu biedrību un nodibinājumu pakalpojumi (Sakrālā mantojuma saglabāšana)</t>
  </si>
  <si>
    <t>09.000</t>
  </si>
  <si>
    <t>Izglītība</t>
  </si>
  <si>
    <t>09.100</t>
  </si>
  <si>
    <t xml:space="preserve">Pirmsskolas izglītība </t>
  </si>
  <si>
    <t>09.10002</t>
  </si>
  <si>
    <t>PII  "Cīrulītis"</t>
  </si>
  <si>
    <t>09.10003</t>
  </si>
  <si>
    <t>PII  "Dzīpariņš"</t>
  </si>
  <si>
    <t>09.10004</t>
  </si>
  <si>
    <t>PII  "Zelta sietiņš"</t>
  </si>
  <si>
    <t>09.10005</t>
  </si>
  <si>
    <t>PII  "Saulīte"</t>
  </si>
  <si>
    <t>09.10006</t>
  </si>
  <si>
    <t>PII " Ābelīte"</t>
  </si>
  <si>
    <t>09.10007</t>
  </si>
  <si>
    <t>PII " Strautiņš"</t>
  </si>
  <si>
    <t>09.10008</t>
  </si>
  <si>
    <t>PII "Riekstiņš"</t>
  </si>
  <si>
    <t>09.10009</t>
  </si>
  <si>
    <t>PII "Taurenītis"</t>
  </si>
  <si>
    <t>09.10010</t>
  </si>
  <si>
    <t>Finansējums bērniem, kuri apmeklē privātās pirmsskolas izglītības iestādes</t>
  </si>
  <si>
    <t>09.10012</t>
  </si>
  <si>
    <t>PII "Urdaviņa"</t>
  </si>
  <si>
    <t>09.10013</t>
  </si>
  <si>
    <t>PII "Čiekuriņš"</t>
  </si>
  <si>
    <t>09.10014</t>
  </si>
  <si>
    <t xml:space="preserve">PII "Gaismiņa"   </t>
  </si>
  <si>
    <t>09.10015</t>
  </si>
  <si>
    <t xml:space="preserve">PII "Birztaliņa"   </t>
  </si>
  <si>
    <t>09.10016</t>
  </si>
  <si>
    <t xml:space="preserve"> VPII "Pūt vējiņi"   </t>
  </si>
  <si>
    <t>09.211</t>
  </si>
  <si>
    <t>Sākumskolas (ISCED-97 1. līmenis)</t>
  </si>
  <si>
    <t>09.21101</t>
  </si>
  <si>
    <t>Ogres sākumskola</t>
  </si>
  <si>
    <t>09.21102</t>
  </si>
  <si>
    <t>Tīnūžu sākumskola</t>
  </si>
  <si>
    <t>09.219</t>
  </si>
  <si>
    <t>Vispārējās izglītības mācību iestāžu izdevumi (ISCED-97 1.- 3. līmenis)</t>
  </si>
  <si>
    <t>09.21901</t>
  </si>
  <si>
    <t>Ogres 1. vidusskola</t>
  </si>
  <si>
    <t>09.21902</t>
  </si>
  <si>
    <t>09.21903</t>
  </si>
  <si>
    <t>Jaunogres vidusskola</t>
  </si>
  <si>
    <t>09.21904</t>
  </si>
  <si>
    <t xml:space="preserve">Ogresgala pamatskola </t>
  </si>
  <si>
    <t>09.21905</t>
  </si>
  <si>
    <t xml:space="preserve">Ķeipenes pamatskola </t>
  </si>
  <si>
    <t>09.21906</t>
  </si>
  <si>
    <t>Madlienas vidusskola</t>
  </si>
  <si>
    <t>09.21907</t>
  </si>
  <si>
    <t>Taurupes pamatskola</t>
  </si>
  <si>
    <t>09.21908</t>
  </si>
  <si>
    <t>Suntažu vidusskola</t>
  </si>
  <si>
    <t>09.21912</t>
  </si>
  <si>
    <t>Finansējums bērniem, kuri apmeklē privātās izglītības iestādes</t>
  </si>
  <si>
    <t>09.21913</t>
  </si>
  <si>
    <t>Ķeguma vidusskola</t>
  </si>
  <si>
    <t>09.21914</t>
  </si>
  <si>
    <t xml:space="preserve">Birzgales pamatskola   </t>
  </si>
  <si>
    <t>09.21915</t>
  </si>
  <si>
    <t xml:space="preserve">Lielvārdes pamatskola </t>
  </si>
  <si>
    <t>09.21916</t>
  </si>
  <si>
    <t xml:space="preserve">Lēdmanes pamatskola </t>
  </si>
  <si>
    <t>09.21917</t>
  </si>
  <si>
    <t>Jumpravas pamatskola</t>
  </si>
  <si>
    <t>09.21918</t>
  </si>
  <si>
    <t>Valdemāra pamatskola</t>
  </si>
  <si>
    <t>09.21919</t>
  </si>
  <si>
    <t>09.21920</t>
  </si>
  <si>
    <t>Ikšķiles vidusskola</t>
  </si>
  <si>
    <t>09.21921</t>
  </si>
  <si>
    <t>Ogres centra pamatskola</t>
  </si>
  <si>
    <t>09.510</t>
  </si>
  <si>
    <t>Interešu un profesionālās ievirzes izglītība</t>
  </si>
  <si>
    <t>09.5101</t>
  </si>
  <si>
    <t>Sporta centrs</t>
  </si>
  <si>
    <t>09.5102</t>
  </si>
  <si>
    <t>Basketbola skola</t>
  </si>
  <si>
    <t>09.5103</t>
  </si>
  <si>
    <t>Lielvārdes sporta centrs</t>
  </si>
  <si>
    <t>09.5106</t>
  </si>
  <si>
    <t>Madlienas mūzikas un mākslas skola</t>
  </si>
  <si>
    <t>09.5107</t>
  </si>
  <si>
    <t>Ogres Mūzikas un mākslas skola</t>
  </si>
  <si>
    <t>09.5108</t>
  </si>
  <si>
    <t>Birzgales mūzikas skola</t>
  </si>
  <si>
    <t>09.5109</t>
  </si>
  <si>
    <t>Lielvārdes Mūzikas un mākslas skola</t>
  </si>
  <si>
    <t>09.5110</t>
  </si>
  <si>
    <t>Ikšķiles Mūzikas un mākslas skola</t>
  </si>
  <si>
    <t>Finansējums bērniem, kuri apmeklē privātās interešu izglītības iestādes</t>
  </si>
  <si>
    <t>09.600</t>
  </si>
  <si>
    <t>Izglītības papildu pakalpojumi</t>
  </si>
  <si>
    <t>09.610</t>
  </si>
  <si>
    <t>Izglītojamo pārvadājumu pakalpojumi</t>
  </si>
  <si>
    <t>09.6101</t>
  </si>
  <si>
    <t>09.620</t>
  </si>
  <si>
    <t>Izglītojamo ēdināšanas pakalpojumi</t>
  </si>
  <si>
    <t>09.6201</t>
  </si>
  <si>
    <t>Ēdināšanas izmaksu kompensācijas PII</t>
  </si>
  <si>
    <t>09.6202</t>
  </si>
  <si>
    <t>Ēdināšana skolās, tai skatā (1.-4.kl.)</t>
  </si>
  <si>
    <t>09.630</t>
  </si>
  <si>
    <t>Izglītojamo izmitināšanas pakalpojumi</t>
  </si>
  <si>
    <t>09.640</t>
  </si>
  <si>
    <t>Izglītojamo pārējie papildu pakalpojumi</t>
  </si>
  <si>
    <t>09.810</t>
  </si>
  <si>
    <t>Pārējā izglītības vadība (Izglītības pārvalde)</t>
  </si>
  <si>
    <t>09.820</t>
  </si>
  <si>
    <t>Pārējā citur neklasificētā izglītība (izglītības projektu realizācija)</t>
  </si>
  <si>
    <t>09.82001</t>
  </si>
  <si>
    <t>Karjeras atbalsts vispārējās un profesionālās izglītības iestādēs</t>
  </si>
  <si>
    <t>09.82002</t>
  </si>
  <si>
    <t>Atbalsts priekšlaicīgas mācību pārtraukšanas samazināšanai (Pumpurs)</t>
  </si>
  <si>
    <t>09.82003</t>
  </si>
  <si>
    <t>Latvijas Skolas Soma</t>
  </si>
  <si>
    <t>09.82010</t>
  </si>
  <si>
    <t>Sadarbībā ar Rīgas tehnisko universitāti, BJU interešu izglītības nodarbības un ekskursijas</t>
  </si>
  <si>
    <t>09.82012</t>
  </si>
  <si>
    <t>ERASMUS+"A.L.C.H.M.I.A" PROJEKTS Nr.2020-1-FI01-KA227-SCH-092716 Lielvārdes Mūzikas un mākslas skola</t>
  </si>
  <si>
    <t>09.82015</t>
  </si>
  <si>
    <t>Erasmus programmas projekts Nr.2020-1-LV01-KA229-077484-1, Get into the Green Scene Jumpravas pamatsk.</t>
  </si>
  <si>
    <t>09.82016</t>
  </si>
  <si>
    <t>Erasmus programmas projekts Nr.2020-1-AT01-KA229-078145-3, Our Password 21st Century Skills, Jumpravas pamatsk.</t>
  </si>
  <si>
    <t>09.82017</t>
  </si>
  <si>
    <t>Erasmus programmas projekts Nr.2020-1-PL01-KA229-081470-4, Peaceful Schools with Anger-free Classes, Jumpravas pamatsk.</t>
  </si>
  <si>
    <t>09.82018</t>
  </si>
  <si>
    <t>Erasmus programmas projekts Nr.2020-1-FR01-KA229-080395-3, Healthy Mind, Body and Environment, Jumpravas pamatsk</t>
  </si>
  <si>
    <t>09.82019</t>
  </si>
  <si>
    <t>Erasmus programmas projekts Nr.2020-1-EE01-KA229-077961-4, See-Our Nature!, Jumpravas pamatsk.</t>
  </si>
  <si>
    <t>09.82020</t>
  </si>
  <si>
    <t>Erasmus+ 2020-2-LV02-KA347-003434 "The power of youth - Shaking the Present, Building the Future"</t>
  </si>
  <si>
    <t>09.82021</t>
  </si>
  <si>
    <t>Erasmus+ 2020-1-LV02-KA205-003145 "Cross-sectorial cooperation for reaching out to the youth"</t>
  </si>
  <si>
    <t>09.82022</t>
  </si>
  <si>
    <t>Jaunas VPII ēkas būvniecība pie Lielvārdes pamatskolas</t>
  </si>
  <si>
    <t>09.82024</t>
  </si>
  <si>
    <t>Ogres novada pašvaldības jaunatnes iniciatīvu projektu konkurss "Jauniešu iespējas"</t>
  </si>
  <si>
    <t>09.82030</t>
  </si>
  <si>
    <t>8.1.2.SAM "Uzlabot vispārējās izglītības iestāžu mācību vidi Ogres novadā"</t>
  </si>
  <si>
    <t>09.82039</t>
  </si>
  <si>
    <t>Atbalsts izglītojamo individuālo kompetenču attīstībai</t>
  </si>
  <si>
    <t>09.82048</t>
  </si>
  <si>
    <t>Erasmus programmas projekts Nr.2020-1-LV01-KA101-077352 Skolu mācību mobilitāte (ģimnāzija)</t>
  </si>
  <si>
    <t>09.82050</t>
  </si>
  <si>
    <t>Erasmus programmas projekts Nr.2020-1-PL01-KA229-081399 6 Es izaicinu vecumu ar sparu, (ģimnāzija)</t>
  </si>
  <si>
    <t>09.82051</t>
  </si>
  <si>
    <t>Erasmus programmas projekts Nr.2020-1-TR01-KA229-093575 5 Atklāj patieso dzīvi, (ģimnāzija)</t>
  </si>
  <si>
    <t>09.82052</t>
  </si>
  <si>
    <t>Erasmus programmas projekts Nr.2020-1-FR01-KA229-079905 2, Sagatavo mūs nākotnei, (ģimnāzija)</t>
  </si>
  <si>
    <t>09.82053</t>
  </si>
  <si>
    <t>Erasmus programmas projekts Nr.2020-1-TR01-KA229-093837 4, , (ģimnāzija)</t>
  </si>
  <si>
    <t>09.82057</t>
  </si>
  <si>
    <t>Erasmus programmas projekts Nr.2020-1-TR01-KA229-092959 4, Tīņi domātāji, (sākumskola)</t>
  </si>
  <si>
    <t>09.82058</t>
  </si>
  <si>
    <t>Erasmus programmas projekts Nr.2020-1-DE03-KA229-077592 6, Eiropas ilgtspējīgas un pietiekamības skola, (1.VSK.)</t>
  </si>
  <si>
    <t>09.82064</t>
  </si>
  <si>
    <t>ERASMUS proj. Sociālā uzņēmējdarbība Eiropā, 1. vsk.</t>
  </si>
  <si>
    <t>09.82071</t>
  </si>
  <si>
    <t>Kaibalas skolas pārbūve par pirmsskolas izglītības iestādi</t>
  </si>
  <si>
    <t>09.82072</t>
  </si>
  <si>
    <t>ERASMUS projekts mācību mobilitāte skolu sektorā (Madliena)</t>
  </si>
  <si>
    <t>09.82073</t>
  </si>
  <si>
    <t>Pašvaldības sociālā stipendija vispārējās vidējās izglītības iestāžu izglītojamajiem</t>
  </si>
  <si>
    <t>09.82074</t>
  </si>
  <si>
    <t>Pašvaldības stipendija studējošiem pedagogiem</t>
  </si>
  <si>
    <t>09.82075</t>
  </si>
  <si>
    <t>Erasmus programmas projekts Nr.2022-1-LV01-KA121-SCH-000059464, Mācību mobilitāte skolu sektorā, (ģimnāzija)</t>
  </si>
  <si>
    <t>10.000</t>
  </si>
  <si>
    <t>Sociālā aizsardzība</t>
  </si>
  <si>
    <t>10.400</t>
  </si>
  <si>
    <t>Atbalsts ģimenēm ar bērniem (Bāriņtiesas)</t>
  </si>
  <si>
    <t>10.500</t>
  </si>
  <si>
    <t>Atbalsts bezdarba gadījumā</t>
  </si>
  <si>
    <t>10.700</t>
  </si>
  <si>
    <t>Pārējais citur neklasificēts atbalsts sociāli atstumtām personām</t>
  </si>
  <si>
    <t>10.70001</t>
  </si>
  <si>
    <t xml:space="preserve">Sociālais dienests </t>
  </si>
  <si>
    <t>10.70002</t>
  </si>
  <si>
    <t>Pabalsts maznodrošinātām ģimenēm</t>
  </si>
  <si>
    <t>10.70003</t>
  </si>
  <si>
    <t>Sociālā dienesta asistentu pakalpojumi</t>
  </si>
  <si>
    <t>10.70005</t>
  </si>
  <si>
    <t>Pansionāts "Madliena"</t>
  </si>
  <si>
    <t>10.70006</t>
  </si>
  <si>
    <t>Jauniešu garantijas ietvaros projekta "PROTI un DARI!" īstenošana</t>
  </si>
  <si>
    <t>10.70009</t>
  </si>
  <si>
    <t>Konkurss Vides pieejamības nodrošināšana invalīdiem</t>
  </si>
  <si>
    <t>10.70010</t>
  </si>
  <si>
    <t xml:space="preserve">Sabiedriskās organizācijas </t>
  </si>
  <si>
    <t>10.70015</t>
  </si>
  <si>
    <t>ES projekts "Deinstitucionalizācija un sociālie pakalpojumi personām ar invaliditāti un bērniem"</t>
  </si>
  <si>
    <t>10.70016</t>
  </si>
  <si>
    <t>10.70017</t>
  </si>
  <si>
    <t>ES projektā “Ģimenes asistentu pakalpojuma aprobācija”, projekta Nr. 9.2.1.1/15/I/001)</t>
  </si>
  <si>
    <t>10.900</t>
  </si>
  <si>
    <t>Pārējā citur neklasificētā sociālā aizsardzība</t>
  </si>
  <si>
    <t>10.920</t>
  </si>
  <si>
    <t>Pārējie citur neklasificētie sociālās aizsardzības pasākumi ( Ukrainas civiliedzīvotāju atbalstam)</t>
  </si>
  <si>
    <t>10.921</t>
  </si>
  <si>
    <t>Mājsaimniecībām energoresursu izmaksu pieauguma daļēja kompensācija</t>
  </si>
  <si>
    <t>Kopā izdevumi:</t>
  </si>
  <si>
    <t>F40 02 00 20</t>
  </si>
  <si>
    <t xml:space="preserve">Aizņēmumu atmaksa        </t>
  </si>
  <si>
    <t>F55 01 00 10</t>
  </si>
  <si>
    <t>SIA "Lielvārdes Remte" ieguldījums pamatkapitālā</t>
  </si>
  <si>
    <t>PSIA "Ikšķiles māja" ieguldījums pamatkapitālā</t>
  </si>
  <si>
    <t>SIA "Zelta Liepa Debesu Bļodā" ieguldījums pamatkapitālā</t>
  </si>
  <si>
    <t>F20010000 AB</t>
  </si>
  <si>
    <t>Līdzekļu atlikums uz gada beigām (Kases apgrozāmie līdzekļi)  F22010020</t>
  </si>
  <si>
    <t>01.830    7230</t>
  </si>
  <si>
    <t>Pašvaldību  uzturēšanas izdevumu transferti padotības iestādēm</t>
  </si>
  <si>
    <t>Atalgojums</t>
  </si>
  <si>
    <t>Darba devēja valsts sociālās apdrošināšanas obligātās iemaksas, sociālā rakstura pabalsti un kompensācijas</t>
  </si>
  <si>
    <t>Preces un pakalpojumi</t>
  </si>
  <si>
    <t>Mācību, darba un dienesta komandējumi, dienesta, darba braucieni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</si>
  <si>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</si>
  <si>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</si>
  <si>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</si>
  <si>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</si>
  <si>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Subsīdijas un dotācijas komersantiem, biedrībām un nodibinājumiem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</si>
  <si>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</si>
  <si>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</si>
  <si>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</si>
  <si>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</si>
  <si>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</si>
  <si>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>Sociālie pabalsti natūrā</t>
  </si>
  <si>
    <t>Pārējie maksājumi iedzīvotājiem natūrā un kompensācijas</t>
  </si>
  <si>
    <t>Kompensācijas, kuras izmaksā personām, pamatojoties uz Latvijas tiesu nolēmumiem</t>
  </si>
  <si>
    <t>Pašvaldību uzturēšanas izdevumu transferti</t>
  </si>
  <si>
    <t xml:space="preserve"> IZDEVUMI KOPĀ</t>
  </si>
  <si>
    <t>Ogres novada pašvaldības 2023.gada pamatbudžeta ieņēmumi.</t>
  </si>
  <si>
    <t xml:space="preserve">Ogres,Ikšķiles,Ķeguma, Lielvārdes un to pagastu 2023.g. budžets </t>
  </si>
  <si>
    <t>Pašvald. aģentūras "Ogres komunikācijas" 2023.g. budžets</t>
  </si>
  <si>
    <t xml:space="preserve">Ogres novada Kultūras centrs 2023.g. budžets   </t>
  </si>
  <si>
    <t>Pašvald. aģentūras "Rosme" 2023.g. budžets</t>
  </si>
  <si>
    <t>Suntažu pagasta pārvaldes 2023.g. budžets</t>
  </si>
  <si>
    <t>Lauberes pagasta pārvaldes 2023.g. budžets</t>
  </si>
  <si>
    <t>Ķeipenes pagasta pārvaldes 2023.g. budžets</t>
  </si>
  <si>
    <t>Madlienas pagasta pārvaldes 2023.g. budžets</t>
  </si>
  <si>
    <t>Krapes pagasta pārvaldes 2023.g. budžets</t>
  </si>
  <si>
    <t>Mazozolu pagasta pārvaldes 2023.g. budžets</t>
  </si>
  <si>
    <t>Meņģeles pagasta pārvaldes 2023.g. budžets</t>
  </si>
  <si>
    <t>Taurupes pagasta pārvaldes 2023.g. budžets</t>
  </si>
  <si>
    <t>Ogres novada pašvaldības 2023.g. budžets</t>
  </si>
  <si>
    <t>Ogres novada pašvaldības 2023. gada pamatbudžeta  izdevumi atbilstoši funkcionālajām kategorijām.</t>
  </si>
  <si>
    <t>Budžeta  atl.uz  01. 01. 2023.g.        F22010010</t>
  </si>
  <si>
    <t>Ogres novada pašvaldības 2023. gada pamatbudžeta  izdevumi atbilstoši ekonomiskajām kategorijām.</t>
  </si>
  <si>
    <t xml:space="preserve">Ogres novada Kultūras centrs 2023.g. budžets    </t>
  </si>
  <si>
    <t xml:space="preserve">Edgara Kauliņa Lielvārdes vidusskola </t>
  </si>
  <si>
    <t>03.6001</t>
  </si>
  <si>
    <t>06.4002</t>
  </si>
  <si>
    <t>F55010000</t>
  </si>
  <si>
    <t>08.29004</t>
  </si>
  <si>
    <t>Dziesmu un deju svētki</t>
  </si>
  <si>
    <t>10.70018</t>
  </si>
  <si>
    <t>01.8201</t>
  </si>
  <si>
    <t>06.4001</t>
  </si>
  <si>
    <t>Tūrisma plānošanas un attīstības nodaļa</t>
  </si>
  <si>
    <t>Ogres ģimnāzija un jaunā ēka EUR 422 950</t>
  </si>
  <si>
    <t>Klinšu kāpšanas sienas ekspluatācijai</t>
  </si>
  <si>
    <t>04.510017</t>
  </si>
  <si>
    <t>Ceļu būvniecībai un remontiem Ķegums (Rembate)</t>
  </si>
  <si>
    <t>09.82023</t>
  </si>
  <si>
    <t xml:space="preserve"> PII Mālkalnes prosp.10 pārbūves projektēšana  </t>
  </si>
  <si>
    <t>09.82076</t>
  </si>
  <si>
    <t>Erasmus programmas projekts Nr.2022-1-LV01-KA121-SCH-000068386, Mācību mobilitāte skolu sektorā, (1.vsk.)</t>
  </si>
  <si>
    <t>09.82078</t>
  </si>
  <si>
    <t>Projekts "Mobils un aktīvs"</t>
  </si>
  <si>
    <t>04.510018</t>
  </si>
  <si>
    <t>Ceļu būvniecībai un remontiem Ķegums (Tome)</t>
  </si>
  <si>
    <t xml:space="preserve">Ceļu būvniecībai un remontiem Ķegums </t>
  </si>
  <si>
    <t>08.1003</t>
  </si>
  <si>
    <t>Ielu apgaismošana - Ikšķile</t>
  </si>
  <si>
    <t xml:space="preserve">Komandas vai individuālu sacensību dalībnieku atbalstam </t>
  </si>
  <si>
    <t xml:space="preserve">Ceļa pārbūve “Dubkalna ezera meži” </t>
  </si>
  <si>
    <t>Lielvārdes pilsētas Rembates ielas, Stacijas ielas, Uzvaras ielas, Andreja Pumpura ielas un Meža ielas posmu būvniecībai</t>
  </si>
  <si>
    <t>Saules prospekta, Ogrē  būvniecība</t>
  </si>
  <si>
    <t>Strēlnieku prospekta (no Dārza ielas līdz Jāņa Čakstes prospektam), Ogrē būvniecība</t>
  </si>
  <si>
    <t>Ikšķiles un Tīnūžu pārvaldē</t>
  </si>
  <si>
    <t>Ceļu būvniecībai un remontiem Ikšķile un Tīnūži</t>
  </si>
  <si>
    <t>ERAF "Pakalpojumu infrastruktūras attīstība deinstitucionalizācijas plānu īstenošanai"</t>
  </si>
  <si>
    <t>16.02.2023. Saistošajiem noteikumiem Nr.1/2023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</si>
</sst>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.0"/>
    <numFmt numFmtId="179" formatCode="#,##0.0"/>
    <numFmt numFmtId="180" formatCode="#,##0.000"/>
    <numFmt numFmtId="181" formatCode="0.000"/>
    <numFmt numFmtId="182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53" applyFont="1" applyFill="1" applyAlignment="1">
      <alignment horizontal="left"/>
      <protection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 applyAlignment="1">
      <alignment vertical="center" wrapText="1"/>
      <protection/>
    </xf>
    <xf numFmtId="0" fontId="4" fillId="0" borderId="15" xfId="4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2" fillId="0" borderId="0" xfId="48" applyFont="1" applyAlignment="1">
      <alignment wrapText="1"/>
      <protection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3" fontId="2" fillId="0" borderId="16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3" fontId="2" fillId="0" borderId="22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18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wrapText="1"/>
    </xf>
    <xf numFmtId="3" fontId="2" fillId="33" borderId="28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wrapText="1"/>
    </xf>
    <xf numFmtId="3" fontId="2" fillId="33" borderId="27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4" fillId="0" borderId="33" xfId="0" applyFont="1" applyBorder="1" applyAlignment="1">
      <alignment wrapText="1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 horizontal="left"/>
    </xf>
    <xf numFmtId="3" fontId="4" fillId="0" borderId="38" xfId="0" applyNumberFormat="1" applyFont="1" applyFill="1" applyBorder="1" applyAlignment="1">
      <alignment wrapText="1"/>
    </xf>
    <xf numFmtId="3" fontId="2" fillId="0" borderId="3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wrapText="1"/>
    </xf>
    <xf numFmtId="3" fontId="2" fillId="0" borderId="42" xfId="0" applyNumberFormat="1" applyFont="1" applyFill="1" applyBorder="1" applyAlignment="1">
      <alignment/>
    </xf>
    <xf numFmtId="3" fontId="2" fillId="34" borderId="38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left"/>
    </xf>
    <xf numFmtId="3" fontId="9" fillId="0" borderId="33" xfId="0" applyNumberFormat="1" applyFont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 horizontal="left" wrapText="1"/>
      <protection/>
    </xf>
    <xf numFmtId="3" fontId="2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left" wrapText="1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 horizontal="left" wrapText="1"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53" applyNumberFormat="1" applyFont="1" applyFill="1" applyAlignment="1">
      <alignment horizontal="left"/>
      <protection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51" applyNumberFormat="1" applyFont="1" applyFill="1" applyBorder="1" applyAlignment="1">
      <alignment horizontal="center" vertical="center" wrapText="1"/>
      <protection/>
    </xf>
    <xf numFmtId="3" fontId="2" fillId="0" borderId="11" xfId="52" applyNumberFormat="1" applyFont="1" applyFill="1" applyBorder="1" applyAlignment="1">
      <alignment vertical="center" wrapText="1"/>
      <protection/>
    </xf>
    <xf numFmtId="3" fontId="2" fillId="0" borderId="13" xfId="52" applyNumberFormat="1" applyFont="1" applyFill="1" applyBorder="1" applyAlignment="1">
      <alignment vertical="center" wrapText="1"/>
      <protection/>
    </xf>
    <xf numFmtId="3" fontId="4" fillId="0" borderId="15" xfId="48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wrapText="1"/>
    </xf>
    <xf numFmtId="3" fontId="4" fillId="0" borderId="35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right"/>
    </xf>
    <xf numFmtId="3" fontId="49" fillId="0" borderId="3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left" wrapText="1"/>
    </xf>
    <xf numFmtId="3" fontId="2" fillId="0" borderId="22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wrapText="1"/>
    </xf>
    <xf numFmtId="3" fontId="4" fillId="33" borderId="3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3" fontId="2" fillId="33" borderId="35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 wrapText="1"/>
    </xf>
    <xf numFmtId="3" fontId="2" fillId="0" borderId="27" xfId="49" applyNumberFormat="1" applyFont="1" applyFill="1" applyBorder="1" applyAlignment="1">
      <alignment horizontal="left" wrapText="1"/>
      <protection/>
    </xf>
    <xf numFmtId="3" fontId="2" fillId="33" borderId="19" xfId="0" applyNumberFormat="1" applyFont="1" applyFill="1" applyBorder="1" applyAlignment="1">
      <alignment/>
    </xf>
    <xf numFmtId="3" fontId="4" fillId="0" borderId="37" xfId="55" applyNumberFormat="1" applyFont="1" applyBorder="1" applyAlignment="1">
      <alignment horizontal="right"/>
      <protection/>
    </xf>
    <xf numFmtId="3" fontId="4" fillId="0" borderId="39" xfId="55" applyNumberFormat="1" applyFont="1" applyBorder="1" applyAlignment="1">
      <alignment wrapText="1"/>
      <protection/>
    </xf>
    <xf numFmtId="3" fontId="4" fillId="0" borderId="4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left"/>
    </xf>
    <xf numFmtId="3" fontId="2" fillId="0" borderId="30" xfId="0" applyNumberFormat="1" applyFont="1" applyFill="1" applyBorder="1" applyAlignment="1">
      <alignment horizontal="left"/>
    </xf>
    <xf numFmtId="49" fontId="2" fillId="0" borderId="16" xfId="55" applyNumberFormat="1" applyFont="1" applyBorder="1" applyAlignment="1">
      <alignment horizontal="right"/>
      <protection/>
    </xf>
    <xf numFmtId="0" fontId="2" fillId="0" borderId="18" xfId="49" applyFont="1" applyBorder="1" applyAlignment="1">
      <alignment horizontal="left" wrapText="1"/>
      <protection/>
    </xf>
    <xf numFmtId="3" fontId="4" fillId="0" borderId="24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 wrapText="1"/>
    </xf>
    <xf numFmtId="3" fontId="50" fillId="0" borderId="19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49" fontId="2" fillId="0" borderId="22" xfId="55" applyNumberFormat="1" applyFont="1" applyBorder="1" applyAlignment="1">
      <alignment horizontal="right"/>
      <protection/>
    </xf>
    <xf numFmtId="0" fontId="2" fillId="0" borderId="17" xfId="49" applyFont="1" applyBorder="1" applyAlignment="1">
      <alignment horizontal="left" wrapText="1"/>
      <protection/>
    </xf>
    <xf numFmtId="3" fontId="4" fillId="0" borderId="17" xfId="0" applyNumberFormat="1" applyFont="1" applyFill="1" applyBorder="1" applyAlignment="1">
      <alignment horizontal="left" wrapText="1"/>
    </xf>
    <xf numFmtId="3" fontId="4" fillId="0" borderId="22" xfId="55" applyNumberFormat="1" applyFont="1" applyBorder="1" applyAlignment="1">
      <alignment horizontal="right"/>
      <protection/>
    </xf>
    <xf numFmtId="3" fontId="4" fillId="0" borderId="18" xfId="55" applyNumberFormat="1" applyFont="1" applyBorder="1" applyAlignment="1">
      <alignment wrapText="1"/>
      <protection/>
    </xf>
    <xf numFmtId="49" fontId="2" fillId="0" borderId="22" xfId="55" applyNumberFormat="1" applyFont="1" applyFill="1" applyBorder="1" applyAlignment="1">
      <alignment horizontal="right"/>
      <protection/>
    </xf>
    <xf numFmtId="3" fontId="2" fillId="0" borderId="39" xfId="55" applyNumberFormat="1" applyFont="1" applyBorder="1" applyAlignment="1">
      <alignment wrapText="1"/>
      <protection/>
    </xf>
    <xf numFmtId="3" fontId="2" fillId="0" borderId="18" xfId="55" applyNumberFormat="1" applyFont="1" applyBorder="1" applyAlignment="1">
      <alignment wrapText="1"/>
      <protection/>
    </xf>
    <xf numFmtId="3" fontId="4" fillId="0" borderId="11" xfId="0" applyNumberFormat="1" applyFont="1" applyFill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2" fillId="0" borderId="17" xfId="49" applyNumberFormat="1" applyFont="1" applyFill="1" applyBorder="1" applyAlignment="1">
      <alignment horizontal="left" wrapText="1"/>
      <protection/>
    </xf>
    <xf numFmtId="1" fontId="4" fillId="0" borderId="0" xfId="0" applyNumberFormat="1" applyFont="1" applyFill="1" applyAlignment="1">
      <alignment/>
    </xf>
    <xf numFmtId="3" fontId="2" fillId="0" borderId="37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3" fontId="50" fillId="0" borderId="19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/>
    </xf>
    <xf numFmtId="3" fontId="2" fillId="33" borderId="18" xfId="55" applyNumberFormat="1" applyFont="1" applyFill="1" applyBorder="1" applyAlignment="1">
      <alignment horizontal="left" wrapText="1"/>
      <protection/>
    </xf>
    <xf numFmtId="0" fontId="11" fillId="0" borderId="18" xfId="55" applyFont="1" applyBorder="1" applyAlignment="1">
      <alignment horizontal="left" wrapText="1"/>
      <protection/>
    </xf>
    <xf numFmtId="49" fontId="2" fillId="0" borderId="0" xfId="55" applyNumberFormat="1" applyFont="1" applyFill="1" applyBorder="1" applyAlignment="1">
      <alignment horizontal="right"/>
      <protection/>
    </xf>
    <xf numFmtId="0" fontId="2" fillId="0" borderId="18" xfId="0" applyFont="1" applyFill="1" applyBorder="1" applyAlignment="1">
      <alignment wrapText="1"/>
    </xf>
    <xf numFmtId="0" fontId="12" fillId="0" borderId="18" xfId="55" applyFont="1" applyBorder="1" applyAlignment="1">
      <alignment horizontal="left" wrapText="1"/>
      <protection/>
    </xf>
    <xf numFmtId="0" fontId="11" fillId="0" borderId="18" xfId="55" applyFont="1" applyFill="1" applyBorder="1" applyAlignment="1">
      <alignment horizontal="left" wrapText="1"/>
      <protection/>
    </xf>
    <xf numFmtId="0" fontId="2" fillId="0" borderId="18" xfId="55" applyFont="1" applyBorder="1" applyAlignment="1">
      <alignment wrapText="1"/>
      <protection/>
    </xf>
    <xf numFmtId="49" fontId="2" fillId="0" borderId="22" xfId="0" applyNumberFormat="1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 horizontal="left" wrapText="1"/>
    </xf>
    <xf numFmtId="0" fontId="2" fillId="0" borderId="27" xfId="49" applyFont="1" applyFill="1" applyBorder="1" applyAlignment="1">
      <alignment horizontal="left" wrapText="1"/>
      <protection/>
    </xf>
    <xf numFmtId="3" fontId="2" fillId="0" borderId="25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4" fillId="0" borderId="27" xfId="0" applyNumberFormat="1" applyFont="1" applyBorder="1" applyAlignment="1">
      <alignment horizontal="left" wrapText="1"/>
    </xf>
    <xf numFmtId="49" fontId="4" fillId="0" borderId="22" xfId="55" applyNumberFormat="1" applyFont="1" applyBorder="1" applyAlignment="1">
      <alignment horizontal="right"/>
      <protection/>
    </xf>
    <xf numFmtId="3" fontId="4" fillId="33" borderId="19" xfId="0" applyNumberFormat="1" applyFont="1" applyFill="1" applyBorder="1" applyAlignment="1">
      <alignment/>
    </xf>
    <xf numFmtId="49" fontId="4" fillId="0" borderId="26" xfId="55" applyNumberFormat="1" applyFont="1" applyBorder="1" applyAlignment="1">
      <alignment horizontal="right"/>
      <protection/>
    </xf>
    <xf numFmtId="3" fontId="4" fillId="0" borderId="19" xfId="0" applyNumberFormat="1" applyFont="1" applyBorder="1" applyAlignment="1">
      <alignment wrapText="1"/>
    </xf>
    <xf numFmtId="3" fontId="4" fillId="0" borderId="39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/>
    </xf>
    <xf numFmtId="3" fontId="50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50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wrapText="1"/>
    </xf>
    <xf numFmtId="3" fontId="4" fillId="0" borderId="52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2" fillId="0" borderId="16" xfId="55" applyNumberFormat="1" applyFont="1" applyBorder="1" applyAlignment="1">
      <alignment horizontal="right"/>
      <protection/>
    </xf>
    <xf numFmtId="3" fontId="2" fillId="0" borderId="18" xfId="49" applyNumberFormat="1" applyFont="1" applyBorder="1" applyAlignment="1">
      <alignment horizontal="left" wrapText="1"/>
      <protection/>
    </xf>
    <xf numFmtId="3" fontId="6" fillId="0" borderId="18" xfId="49" applyNumberFormat="1" applyFont="1" applyBorder="1" applyAlignment="1">
      <alignment horizontal="left" wrapText="1"/>
      <protection/>
    </xf>
    <xf numFmtId="3" fontId="2" fillId="0" borderId="18" xfId="49" applyNumberFormat="1" applyFont="1" applyFill="1" applyBorder="1" applyAlignment="1">
      <alignment horizontal="left" wrapText="1"/>
      <protection/>
    </xf>
    <xf numFmtId="3" fontId="2" fillId="0" borderId="19" xfId="49" applyNumberFormat="1" applyFont="1" applyFill="1" applyBorder="1" applyAlignment="1">
      <alignment horizontal="left" wrapText="1"/>
      <protection/>
    </xf>
    <xf numFmtId="3" fontId="2" fillId="0" borderId="18" xfId="50" applyNumberFormat="1" applyFont="1" applyFill="1" applyBorder="1" applyAlignment="1">
      <alignment horizontal="left" wrapText="1"/>
      <protection/>
    </xf>
    <xf numFmtId="3" fontId="2" fillId="0" borderId="22" xfId="55" applyNumberFormat="1" applyFont="1" applyBorder="1" applyAlignment="1">
      <alignment horizontal="right"/>
      <protection/>
    </xf>
    <xf numFmtId="0" fontId="2" fillId="0" borderId="18" xfId="50" applyFont="1" applyFill="1" applyBorder="1" applyAlignment="1">
      <alignment horizontal="left" wrapText="1"/>
      <protection/>
    </xf>
    <xf numFmtId="0" fontId="2" fillId="0" borderId="18" xfId="49" applyFont="1" applyFill="1" applyBorder="1" applyAlignment="1">
      <alignment horizontal="left" wrapText="1"/>
      <protection/>
    </xf>
    <xf numFmtId="0" fontId="2" fillId="0" borderId="39" xfId="49" applyFont="1" applyFill="1" applyBorder="1" applyAlignment="1">
      <alignment horizontal="left" wrapText="1"/>
      <protection/>
    </xf>
    <xf numFmtId="3" fontId="51" fillId="0" borderId="18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 horizontal="left" wrapText="1"/>
    </xf>
    <xf numFmtId="0" fontId="6" fillId="0" borderId="39" xfId="49" applyFont="1" applyBorder="1" applyAlignment="1">
      <alignment horizontal="left" wrapText="1"/>
      <protection/>
    </xf>
    <xf numFmtId="49" fontId="4" fillId="0" borderId="22" xfId="55" applyNumberFormat="1" applyFont="1" applyFill="1" applyBorder="1" applyAlignment="1">
      <alignment horizontal="right"/>
      <protection/>
    </xf>
    <xf numFmtId="0" fontId="4" fillId="0" borderId="17" xfId="49" applyFont="1" applyBorder="1" applyAlignment="1">
      <alignment horizontal="left" wrapText="1"/>
      <protection/>
    </xf>
    <xf numFmtId="49" fontId="2" fillId="0" borderId="16" xfId="55" applyNumberFormat="1" applyFont="1" applyFill="1" applyBorder="1" applyAlignment="1">
      <alignment horizontal="right"/>
      <protection/>
    </xf>
    <xf numFmtId="3" fontId="2" fillId="0" borderId="39" xfId="49" applyNumberFormat="1" applyFont="1" applyFill="1" applyBorder="1" applyAlignment="1">
      <alignment horizontal="left" wrapText="1"/>
      <protection/>
    </xf>
    <xf numFmtId="3" fontId="2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0" xfId="48" applyNumberFormat="1" applyFont="1" applyFill="1" applyBorder="1" applyAlignment="1">
      <alignment horizontal="left" wrapText="1"/>
      <protection/>
    </xf>
    <xf numFmtId="3" fontId="10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52" fillId="0" borderId="0" xfId="48" applyNumberFormat="1" applyFont="1" applyFill="1" applyBorder="1" applyAlignment="1">
      <alignment horizontal="right" wrapText="1"/>
      <protection/>
    </xf>
    <xf numFmtId="3" fontId="51" fillId="0" borderId="0" xfId="0" applyNumberFormat="1" applyFont="1" applyFill="1" applyAlignment="1">
      <alignment/>
    </xf>
    <xf numFmtId="0" fontId="2" fillId="0" borderId="53" xfId="52" applyFont="1" applyFill="1" applyBorder="1" applyAlignment="1">
      <alignment vertical="center" wrapText="1"/>
      <protection/>
    </xf>
    <xf numFmtId="3" fontId="4" fillId="0" borderId="41" xfId="0" applyNumberFormat="1" applyFont="1" applyFill="1" applyBorder="1" applyAlignment="1">
      <alignment horizontal="left"/>
    </xf>
    <xf numFmtId="41" fontId="2" fillId="0" borderId="34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41" fontId="2" fillId="0" borderId="19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 wrapText="1"/>
    </xf>
    <xf numFmtId="49" fontId="2" fillId="0" borderId="18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3" fontId="51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53" fillId="33" borderId="18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 wrapText="1"/>
    </xf>
    <xf numFmtId="4" fontId="2" fillId="0" borderId="19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2" fillId="33" borderId="18" xfId="0" applyNumberFormat="1" applyFont="1" applyFill="1" applyBorder="1" applyAlignment="1">
      <alignment wrapText="1"/>
    </xf>
    <xf numFmtId="3" fontId="2" fillId="0" borderId="39" xfId="0" applyNumberFormat="1" applyFont="1" applyFill="1" applyBorder="1" applyAlignment="1">
      <alignment horizontal="left" wrapText="1"/>
    </xf>
    <xf numFmtId="3" fontId="4" fillId="0" borderId="57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 horizontal="center" wrapText="1"/>
    </xf>
  </cellXfs>
  <cellStyles count="5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2009.g plāns apst 3" xfId="48"/>
    <cellStyle name="Normal_PROJEKTI_2016_PLĀNS_Aija un Inese" xfId="49"/>
    <cellStyle name="Normal_PROJEKTI_2016_PLĀNS_Aija un Inese 2" xfId="50"/>
    <cellStyle name="Normal_Sheet1" xfId="51"/>
    <cellStyle name="Normal_Sheet1_Pielikumi oktobra korekcijam 2" xfId="52"/>
    <cellStyle name="Normal_Specbudz.kopsavilkums 2006.g un korekc. 2" xfId="53"/>
    <cellStyle name="Nosaukums" xfId="54"/>
    <cellStyle name="Parasts 2" xfId="55"/>
    <cellStyle name="Parasts 2 2" xfId="56"/>
    <cellStyle name="Parasts 2_2016.g. Ieņēmumu un izdevumu plāns" xfId="57"/>
    <cellStyle name="Parasts 3" xfId="58"/>
    <cellStyle name="Paskaidrojošs teksts" xfId="59"/>
    <cellStyle name="Pārbaudes šūna" xfId="60"/>
    <cellStyle name="Piezīme" xfId="61"/>
    <cellStyle name="Percent" xfId="62"/>
    <cellStyle name="Saistīta šūna" xfId="63"/>
    <cellStyle name="Slikts" xfId="64"/>
    <cellStyle name="Currency" xfId="65"/>
    <cellStyle name="Currency [0]" xfId="66"/>
    <cellStyle name="Virsraksts 1" xfId="67"/>
    <cellStyle name="Virsraksts 2" xfId="68"/>
    <cellStyle name="Virsraksts 3" xfId="69"/>
    <cellStyle name="Virsraksts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O3" sqref="O3"/>
    </sheetView>
  </sheetViews>
  <sheetFormatPr defaultColWidth="9.140625" defaultRowHeight="15" outlineLevelRow="1"/>
  <cols>
    <col min="1" max="1" width="13.28125" style="1" customWidth="1"/>
    <col min="2" max="2" width="41.00390625" style="2" customWidth="1"/>
    <col min="3" max="3" width="13.421875" style="1" bestFit="1" customWidth="1"/>
    <col min="4" max="4" width="10.8515625" style="1" customWidth="1"/>
    <col min="5" max="5" width="10.8515625" style="1" bestFit="1" customWidth="1"/>
    <col min="6" max="6" width="9.140625" style="1" bestFit="1" customWidth="1"/>
    <col min="7" max="7" width="10.8515625" style="1" bestFit="1" customWidth="1"/>
    <col min="8" max="8" width="9.00390625" style="1" customWidth="1"/>
    <col min="9" max="9" width="10.140625" style="1" bestFit="1" customWidth="1"/>
    <col min="10" max="10" width="10.7109375" style="1" customWidth="1"/>
    <col min="11" max="11" width="8.8515625" style="1" customWidth="1"/>
    <col min="12" max="12" width="9.7109375" style="1" customWidth="1"/>
    <col min="13" max="13" width="9.28125" style="1" customWidth="1"/>
    <col min="14" max="14" width="10.140625" style="1" bestFit="1" customWidth="1"/>
    <col min="15" max="15" width="10.140625" style="1" customWidth="1"/>
    <col min="16" max="16" width="13.00390625" style="5" customWidth="1"/>
    <col min="17" max="17" width="10.421875" style="5" customWidth="1"/>
    <col min="18" max="18" width="12.421875" style="5" customWidth="1"/>
    <col min="19" max="19" width="6.8515625" style="1" customWidth="1"/>
    <col min="20" max="20" width="12.57421875" style="1" customWidth="1"/>
    <col min="21" max="16384" width="9.140625" style="1" customWidth="1"/>
  </cols>
  <sheetData>
    <row r="1" spans="4:15" ht="15" outlineLevel="1">
      <c r="D1" s="3" t="s">
        <v>0</v>
      </c>
      <c r="E1" s="3"/>
      <c r="F1" s="3"/>
      <c r="O1" s="4" t="s">
        <v>1</v>
      </c>
    </row>
    <row r="2" spans="1:15" ht="15" outlineLevel="1">
      <c r="A2" s="6"/>
      <c r="D2" s="6"/>
      <c r="E2" s="6"/>
      <c r="F2" s="6"/>
      <c r="O2" s="4" t="s">
        <v>2</v>
      </c>
    </row>
    <row r="3" spans="1:15" ht="15" outlineLevel="1">
      <c r="A3" s="6"/>
      <c r="D3" s="6"/>
      <c r="E3" s="6"/>
      <c r="F3" s="6"/>
      <c r="O3" s="4" t="s">
        <v>639</v>
      </c>
    </row>
    <row r="4" ht="15" outlineLevel="1"/>
    <row r="5" spans="1:3" ht="20.25" outlineLevel="1">
      <c r="A5" s="7" t="s">
        <v>588</v>
      </c>
      <c r="B5" s="7"/>
      <c r="C5" s="283"/>
    </row>
    <row r="6" spans="1:14" ht="15.75" thickBot="1">
      <c r="A6" s="6"/>
      <c r="B6" s="8"/>
      <c r="C6" s="6"/>
      <c r="M6" s="9"/>
      <c r="N6" s="9"/>
    </row>
    <row r="7" spans="1:20" ht="117.75" customHeight="1" thickBot="1">
      <c r="A7" s="10" t="s">
        <v>3</v>
      </c>
      <c r="B7" s="11" t="s">
        <v>4</v>
      </c>
      <c r="C7" s="12" t="s">
        <v>589</v>
      </c>
      <c r="D7" s="13" t="s">
        <v>590</v>
      </c>
      <c r="E7" s="14" t="s">
        <v>591</v>
      </c>
      <c r="F7" s="14" t="s">
        <v>592</v>
      </c>
      <c r="G7" s="15" t="s">
        <v>593</v>
      </c>
      <c r="H7" s="15" t="s">
        <v>594</v>
      </c>
      <c r="I7" s="15" t="s">
        <v>595</v>
      </c>
      <c r="J7" s="15" t="s">
        <v>596</v>
      </c>
      <c r="K7" s="15" t="s">
        <v>597</v>
      </c>
      <c r="L7" s="15" t="s">
        <v>598</v>
      </c>
      <c r="M7" s="15" t="s">
        <v>599</v>
      </c>
      <c r="N7" s="16" t="s">
        <v>600</v>
      </c>
      <c r="O7" s="17" t="s">
        <v>5</v>
      </c>
      <c r="P7" s="18" t="s">
        <v>601</v>
      </c>
      <c r="Q7" s="19"/>
      <c r="R7" s="19"/>
      <c r="S7" s="20"/>
      <c r="T7" s="20"/>
    </row>
    <row r="8" spans="1:20" ht="15.75" thickBot="1">
      <c r="A8" s="21"/>
      <c r="B8" s="22" t="s">
        <v>6</v>
      </c>
      <c r="C8" s="23">
        <f aca="true" t="shared" si="0" ref="C8:O8">C9+C10+C15+C16</f>
        <v>58451079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117600</v>
      </c>
      <c r="H8" s="23">
        <f t="shared" si="0"/>
        <v>51911</v>
      </c>
      <c r="I8" s="23">
        <f t="shared" si="0"/>
        <v>45000</v>
      </c>
      <c r="J8" s="23">
        <f t="shared" si="0"/>
        <v>113298</v>
      </c>
      <c r="K8" s="23">
        <f t="shared" si="0"/>
        <v>68500</v>
      </c>
      <c r="L8" s="23">
        <f t="shared" si="0"/>
        <v>55400</v>
      </c>
      <c r="M8" s="23">
        <f t="shared" si="0"/>
        <v>50911</v>
      </c>
      <c r="N8" s="23">
        <f t="shared" si="0"/>
        <v>76000</v>
      </c>
      <c r="O8" s="56">
        <f t="shared" si="0"/>
        <v>0</v>
      </c>
      <c r="P8" s="57">
        <f>P9+P10+P15+P16</f>
        <v>59029699</v>
      </c>
      <c r="Q8" s="265"/>
      <c r="R8" s="24"/>
      <c r="S8" s="25"/>
      <c r="T8" s="25"/>
    </row>
    <row r="9" spans="1:20" ht="15">
      <c r="A9" s="26" t="s">
        <v>7</v>
      </c>
      <c r="B9" s="27" t="s">
        <v>8</v>
      </c>
      <c r="C9" s="28">
        <v>54523694</v>
      </c>
      <c r="D9" s="28"/>
      <c r="E9" s="28"/>
      <c r="F9" s="29"/>
      <c r="G9" s="28"/>
      <c r="H9" s="28"/>
      <c r="I9" s="28"/>
      <c r="J9" s="28"/>
      <c r="K9" s="28"/>
      <c r="L9" s="28"/>
      <c r="M9" s="28"/>
      <c r="N9" s="28"/>
      <c r="O9" s="30"/>
      <c r="P9" s="31">
        <f aca="true" t="shared" si="1" ref="P9:P31">SUM(C9:O9)</f>
        <v>54523694</v>
      </c>
      <c r="Q9" s="265"/>
      <c r="R9" s="24"/>
      <c r="S9" s="32"/>
      <c r="T9" s="25"/>
    </row>
    <row r="10" spans="1:20" ht="15">
      <c r="A10" s="33" t="s">
        <v>9</v>
      </c>
      <c r="B10" s="34" t="s">
        <v>10</v>
      </c>
      <c r="C10" s="28">
        <f>C11</f>
        <v>3734385</v>
      </c>
      <c r="D10" s="28"/>
      <c r="E10" s="28"/>
      <c r="F10" s="29"/>
      <c r="G10" s="28">
        <f>G11</f>
        <v>117600</v>
      </c>
      <c r="H10" s="35">
        <f aca="true" t="shared" si="2" ref="H10:O10">H11</f>
        <v>51911</v>
      </c>
      <c r="I10" s="35">
        <f t="shared" si="2"/>
        <v>45000</v>
      </c>
      <c r="J10" s="35">
        <f t="shared" si="2"/>
        <v>113298</v>
      </c>
      <c r="K10" s="35">
        <f t="shared" si="2"/>
        <v>68500</v>
      </c>
      <c r="L10" s="35">
        <f t="shared" si="2"/>
        <v>55400</v>
      </c>
      <c r="M10" s="35">
        <f t="shared" si="2"/>
        <v>50911</v>
      </c>
      <c r="N10" s="35">
        <f t="shared" si="2"/>
        <v>76000</v>
      </c>
      <c r="O10" s="36">
        <f t="shared" si="2"/>
        <v>0</v>
      </c>
      <c r="P10" s="31">
        <f t="shared" si="1"/>
        <v>4313005</v>
      </c>
      <c r="Q10" s="265"/>
      <c r="R10" s="24"/>
      <c r="S10" s="32"/>
      <c r="T10" s="25"/>
    </row>
    <row r="11" spans="1:20" ht="15">
      <c r="A11" s="33" t="s">
        <v>11</v>
      </c>
      <c r="B11" s="34" t="s">
        <v>12</v>
      </c>
      <c r="C11" s="28">
        <f>SUM(C12:C14)</f>
        <v>3734385</v>
      </c>
      <c r="D11" s="28"/>
      <c r="E11" s="28"/>
      <c r="F11" s="29"/>
      <c r="G11" s="28">
        <f>SUM(G12:G14)</f>
        <v>117600</v>
      </c>
      <c r="H11" s="28">
        <f aca="true" t="shared" si="3" ref="H11:O11">SUM(H12:H14)</f>
        <v>51911</v>
      </c>
      <c r="I11" s="28">
        <f t="shared" si="3"/>
        <v>45000</v>
      </c>
      <c r="J11" s="28">
        <f t="shared" si="3"/>
        <v>113298</v>
      </c>
      <c r="K11" s="28">
        <f t="shared" si="3"/>
        <v>68500</v>
      </c>
      <c r="L11" s="28">
        <f t="shared" si="3"/>
        <v>55400</v>
      </c>
      <c r="M11" s="28">
        <f t="shared" si="3"/>
        <v>50911</v>
      </c>
      <c r="N11" s="28">
        <f>SUM(N12:N14)</f>
        <v>76000</v>
      </c>
      <c r="O11" s="36">
        <f t="shared" si="3"/>
        <v>0</v>
      </c>
      <c r="P11" s="31">
        <f t="shared" si="1"/>
        <v>4313005</v>
      </c>
      <c r="Q11" s="265"/>
      <c r="R11" s="24"/>
      <c r="S11" s="32"/>
      <c r="T11" s="25"/>
    </row>
    <row r="12" spans="1:20" ht="15">
      <c r="A12" s="37" t="s">
        <v>13</v>
      </c>
      <c r="B12" s="34" t="s">
        <v>14</v>
      </c>
      <c r="C12" s="38">
        <f>2161042-G12-H12-I12-J12-K12-L12-M12-N12+450000</f>
        <v>2100868</v>
      </c>
      <c r="D12" s="35"/>
      <c r="E12" s="35"/>
      <c r="F12" s="28"/>
      <c r="G12" s="39">
        <v>101000</v>
      </c>
      <c r="H12" s="35">
        <v>45230</v>
      </c>
      <c r="I12" s="35">
        <v>40000</v>
      </c>
      <c r="J12" s="35">
        <v>98133</v>
      </c>
      <c r="K12" s="28">
        <v>58000</v>
      </c>
      <c r="L12" s="40">
        <v>50000</v>
      </c>
      <c r="M12" s="41">
        <v>47711</v>
      </c>
      <c r="N12" s="42">
        <v>70100</v>
      </c>
      <c r="O12" s="30"/>
      <c r="P12" s="31">
        <f t="shared" si="1"/>
        <v>2611042</v>
      </c>
      <c r="Q12" s="265"/>
      <c r="R12" s="24"/>
      <c r="S12" s="32"/>
      <c r="T12" s="25"/>
    </row>
    <row r="13" spans="1:20" ht="15">
      <c r="A13" s="37" t="s">
        <v>15</v>
      </c>
      <c r="B13" s="34" t="s">
        <v>16</v>
      </c>
      <c r="C13" s="38">
        <f>697823-G13-H13-I13-J13-K13-L13-M13-N13+200000</f>
        <v>865252</v>
      </c>
      <c r="D13" s="35"/>
      <c r="E13" s="35"/>
      <c r="F13" s="28"/>
      <c r="G13" s="39">
        <v>5200</v>
      </c>
      <c r="H13" s="35">
        <v>4721</v>
      </c>
      <c r="I13" s="35">
        <v>2200</v>
      </c>
      <c r="J13" s="35">
        <v>7150</v>
      </c>
      <c r="K13" s="28">
        <v>10500</v>
      </c>
      <c r="L13" s="40">
        <v>1400</v>
      </c>
      <c r="M13" s="39">
        <v>700</v>
      </c>
      <c r="N13" s="42">
        <v>700</v>
      </c>
      <c r="O13" s="30"/>
      <c r="P13" s="31">
        <f t="shared" si="1"/>
        <v>897823</v>
      </c>
      <c r="Q13" s="265"/>
      <c r="R13" s="24"/>
      <c r="S13" s="32"/>
      <c r="T13" s="25"/>
    </row>
    <row r="14" spans="1:20" ht="15">
      <c r="A14" s="37" t="s">
        <v>17</v>
      </c>
      <c r="B14" s="34" t="s">
        <v>18</v>
      </c>
      <c r="C14" s="38">
        <f>554140-G14-H14-I14-J14-K14-L14-M14-N14+250000</f>
        <v>768265</v>
      </c>
      <c r="D14" s="35"/>
      <c r="E14" s="35"/>
      <c r="F14" s="28"/>
      <c r="G14" s="39">
        <v>11400</v>
      </c>
      <c r="H14" s="35">
        <v>1960</v>
      </c>
      <c r="I14" s="28">
        <v>2800</v>
      </c>
      <c r="J14" s="35">
        <v>8015</v>
      </c>
      <c r="K14" s="35"/>
      <c r="L14" s="40">
        <v>4000</v>
      </c>
      <c r="M14" s="39">
        <v>2500</v>
      </c>
      <c r="N14" s="42">
        <v>5200</v>
      </c>
      <c r="O14" s="30"/>
      <c r="P14" s="31">
        <f t="shared" si="1"/>
        <v>804140</v>
      </c>
      <c r="Q14" s="265"/>
      <c r="R14" s="24"/>
      <c r="S14" s="32"/>
      <c r="T14" s="25"/>
    </row>
    <row r="15" spans="1:20" ht="15">
      <c r="A15" s="43" t="s">
        <v>19</v>
      </c>
      <c r="B15" s="44" t="s">
        <v>20</v>
      </c>
      <c r="C15" s="45">
        <v>13000</v>
      </c>
      <c r="D15" s="46"/>
      <c r="E15" s="46"/>
      <c r="F15" s="47"/>
      <c r="G15" s="48"/>
      <c r="H15" s="46"/>
      <c r="I15" s="49"/>
      <c r="J15" s="46"/>
      <c r="K15" s="46"/>
      <c r="L15" s="46"/>
      <c r="M15" s="49"/>
      <c r="N15" s="47"/>
      <c r="O15" s="36"/>
      <c r="P15" s="31">
        <f t="shared" si="1"/>
        <v>13000</v>
      </c>
      <c r="Q15" s="265"/>
      <c r="R15" s="24"/>
      <c r="S15" s="32"/>
      <c r="T15" s="25"/>
    </row>
    <row r="16" spans="1:20" ht="15.75" thickBot="1">
      <c r="A16" s="50" t="s">
        <v>21</v>
      </c>
      <c r="B16" s="51" t="s">
        <v>22</v>
      </c>
      <c r="C16" s="52">
        <v>180000</v>
      </c>
      <c r="D16" s="49"/>
      <c r="E16" s="49"/>
      <c r="F16" s="53"/>
      <c r="G16" s="49"/>
      <c r="H16" s="49"/>
      <c r="I16" s="49"/>
      <c r="J16" s="49"/>
      <c r="K16" s="49"/>
      <c r="L16" s="49"/>
      <c r="M16" s="49"/>
      <c r="N16" s="53"/>
      <c r="O16" s="54"/>
      <c r="P16" s="55">
        <f t="shared" si="1"/>
        <v>180000</v>
      </c>
      <c r="Q16" s="265"/>
      <c r="R16" s="24"/>
      <c r="S16" s="32"/>
      <c r="T16" s="25"/>
    </row>
    <row r="17" spans="1:20" ht="15.75" thickBot="1">
      <c r="A17" s="21"/>
      <c r="B17" s="22" t="s">
        <v>23</v>
      </c>
      <c r="C17" s="23">
        <f aca="true" t="shared" si="4" ref="C17:O17">SUM(C18:C24)</f>
        <v>268600</v>
      </c>
      <c r="D17" s="23">
        <f t="shared" si="4"/>
        <v>200</v>
      </c>
      <c r="E17" s="23">
        <f t="shared" si="4"/>
        <v>0</v>
      </c>
      <c r="F17" s="23">
        <f t="shared" si="4"/>
        <v>0</v>
      </c>
      <c r="G17" s="23">
        <f t="shared" si="4"/>
        <v>11450</v>
      </c>
      <c r="H17" s="23">
        <f t="shared" si="4"/>
        <v>28602</v>
      </c>
      <c r="I17" s="23">
        <f t="shared" si="4"/>
        <v>100</v>
      </c>
      <c r="J17" s="23">
        <f t="shared" si="4"/>
        <v>4250</v>
      </c>
      <c r="K17" s="23">
        <f t="shared" si="4"/>
        <v>0</v>
      </c>
      <c r="L17" s="23">
        <f t="shared" si="4"/>
        <v>4150</v>
      </c>
      <c r="M17" s="23">
        <f t="shared" si="4"/>
        <v>5000</v>
      </c>
      <c r="N17" s="23">
        <f t="shared" si="4"/>
        <v>120</v>
      </c>
      <c r="O17" s="56">
        <f t="shared" si="4"/>
        <v>40000</v>
      </c>
      <c r="P17" s="57">
        <f t="shared" si="1"/>
        <v>362472</v>
      </c>
      <c r="Q17" s="265"/>
      <c r="R17" s="24"/>
      <c r="S17" s="25"/>
      <c r="T17" s="25"/>
    </row>
    <row r="18" spans="1:20" ht="15">
      <c r="A18" s="58" t="s">
        <v>24</v>
      </c>
      <c r="B18" s="59" t="s">
        <v>25</v>
      </c>
      <c r="C18" s="59"/>
      <c r="D18" s="60"/>
      <c r="E18" s="60"/>
      <c r="F18" s="61"/>
      <c r="G18" s="60"/>
      <c r="H18" s="61"/>
      <c r="I18" s="61"/>
      <c r="J18" s="61"/>
      <c r="K18" s="61"/>
      <c r="L18" s="61"/>
      <c r="M18" s="61"/>
      <c r="N18" s="61"/>
      <c r="O18" s="62"/>
      <c r="P18" s="63">
        <f t="shared" si="1"/>
        <v>0</v>
      </c>
      <c r="Q18" s="265"/>
      <c r="R18" s="24"/>
      <c r="S18" s="32"/>
      <c r="T18" s="25"/>
    </row>
    <row r="19" spans="1:20" ht="30">
      <c r="A19" s="26" t="s">
        <v>26</v>
      </c>
      <c r="B19" s="27" t="s">
        <v>27</v>
      </c>
      <c r="C19" s="64">
        <v>5600</v>
      </c>
      <c r="D19" s="64"/>
      <c r="E19" s="64"/>
      <c r="F19" s="65"/>
      <c r="G19" s="64"/>
      <c r="H19" s="64"/>
      <c r="I19" s="64"/>
      <c r="J19" s="64"/>
      <c r="K19" s="64"/>
      <c r="L19" s="64"/>
      <c r="M19" s="64"/>
      <c r="N19" s="65"/>
      <c r="O19" s="30"/>
      <c r="P19" s="31">
        <f t="shared" si="1"/>
        <v>5600</v>
      </c>
      <c r="Q19" s="265"/>
      <c r="R19" s="24"/>
      <c r="S19" s="32"/>
      <c r="T19" s="25"/>
    </row>
    <row r="20" spans="1:20" ht="30">
      <c r="A20" s="33" t="s">
        <v>28</v>
      </c>
      <c r="B20" s="34" t="s">
        <v>29</v>
      </c>
      <c r="C20" s="28">
        <v>18000</v>
      </c>
      <c r="D20" s="28">
        <v>200</v>
      </c>
      <c r="E20" s="28"/>
      <c r="F20" s="29"/>
      <c r="G20" s="28"/>
      <c r="H20" s="28">
        <v>200</v>
      </c>
      <c r="I20" s="28">
        <v>50</v>
      </c>
      <c r="J20" s="28">
        <v>2200</v>
      </c>
      <c r="K20" s="28"/>
      <c r="L20" s="35">
        <v>50</v>
      </c>
      <c r="M20" s="28"/>
      <c r="N20" s="42">
        <v>50</v>
      </c>
      <c r="O20" s="30"/>
      <c r="P20" s="31">
        <f t="shared" si="1"/>
        <v>20750</v>
      </c>
      <c r="Q20" s="265"/>
      <c r="R20" s="24"/>
      <c r="S20" s="32"/>
      <c r="T20" s="25"/>
    </row>
    <row r="21" spans="1:20" ht="15">
      <c r="A21" s="33" t="s">
        <v>30</v>
      </c>
      <c r="B21" s="34" t="s">
        <v>31</v>
      </c>
      <c r="C21" s="28">
        <v>45000</v>
      </c>
      <c r="D21" s="28"/>
      <c r="E21" s="28"/>
      <c r="F21" s="29"/>
      <c r="G21" s="28">
        <v>450</v>
      </c>
      <c r="H21" s="28">
        <v>120</v>
      </c>
      <c r="I21" s="28">
        <v>50</v>
      </c>
      <c r="J21" s="28">
        <v>1150</v>
      </c>
      <c r="K21" s="28"/>
      <c r="L21" s="35">
        <v>100</v>
      </c>
      <c r="M21" s="28"/>
      <c r="N21" s="42">
        <v>70</v>
      </c>
      <c r="O21" s="30"/>
      <c r="P21" s="31">
        <f t="shared" si="1"/>
        <v>46940</v>
      </c>
      <c r="Q21" s="265"/>
      <c r="R21" s="24"/>
      <c r="S21" s="32"/>
      <c r="T21" s="25"/>
    </row>
    <row r="22" spans="1:20" ht="15">
      <c r="A22" s="33" t="s">
        <v>32</v>
      </c>
      <c r="B22" s="34" t="s">
        <v>33</v>
      </c>
      <c r="C22" s="28">
        <v>60000</v>
      </c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9"/>
      <c r="O22" s="30"/>
      <c r="P22" s="31">
        <f t="shared" si="1"/>
        <v>60000</v>
      </c>
      <c r="Q22" s="265"/>
      <c r="R22" s="24"/>
      <c r="S22" s="32"/>
      <c r="T22" s="25"/>
    </row>
    <row r="23" spans="1:20" ht="15">
      <c r="A23" s="33" t="s">
        <v>34</v>
      </c>
      <c r="B23" s="34" t="s">
        <v>35</v>
      </c>
      <c r="C23" s="28">
        <v>40000</v>
      </c>
      <c r="D23" s="28"/>
      <c r="E23" s="28"/>
      <c r="F23" s="29"/>
      <c r="G23" s="28"/>
      <c r="H23" s="28"/>
      <c r="I23" s="28"/>
      <c r="J23" s="28"/>
      <c r="K23" s="28"/>
      <c r="L23" s="28">
        <v>4000</v>
      </c>
      <c r="M23" s="28">
        <v>5000</v>
      </c>
      <c r="N23" s="29"/>
      <c r="O23" s="30"/>
      <c r="P23" s="31">
        <f t="shared" si="1"/>
        <v>49000</v>
      </c>
      <c r="Q23" s="265"/>
      <c r="R23" s="24"/>
      <c r="S23" s="32"/>
      <c r="T23" s="25"/>
    </row>
    <row r="24" spans="1:20" ht="27.75" customHeight="1">
      <c r="A24" s="33" t="s">
        <v>36</v>
      </c>
      <c r="B24" s="34" t="s">
        <v>37</v>
      </c>
      <c r="C24" s="173">
        <v>100000</v>
      </c>
      <c r="D24" s="28"/>
      <c r="E24" s="28"/>
      <c r="F24" s="28"/>
      <c r="G24" s="28">
        <v>11000</v>
      </c>
      <c r="H24" s="42">
        <v>28282</v>
      </c>
      <c r="I24" s="29"/>
      <c r="J24" s="28">
        <v>900</v>
      </c>
      <c r="K24" s="29"/>
      <c r="L24" s="28"/>
      <c r="M24" s="29"/>
      <c r="N24" s="29"/>
      <c r="O24" s="30">
        <v>40000</v>
      </c>
      <c r="P24" s="31">
        <f t="shared" si="1"/>
        <v>180182</v>
      </c>
      <c r="Q24" s="265"/>
      <c r="R24" s="24"/>
      <c r="S24" s="32"/>
      <c r="T24" s="25"/>
    </row>
    <row r="25" spans="1:20" ht="58.5" thickBot="1">
      <c r="A25" s="67" t="s">
        <v>38</v>
      </c>
      <c r="B25" s="68" t="s">
        <v>39</v>
      </c>
      <c r="C25" s="69">
        <v>265446</v>
      </c>
      <c r="D25" s="69"/>
      <c r="E25" s="69"/>
      <c r="F25" s="70"/>
      <c r="G25" s="69"/>
      <c r="H25" s="70"/>
      <c r="I25" s="70"/>
      <c r="J25" s="69"/>
      <c r="K25" s="70"/>
      <c r="L25" s="69"/>
      <c r="M25" s="70"/>
      <c r="N25" s="70"/>
      <c r="O25" s="54"/>
      <c r="P25" s="31">
        <f t="shared" si="1"/>
        <v>265446</v>
      </c>
      <c r="Q25" s="265"/>
      <c r="R25" s="24"/>
      <c r="S25" s="32"/>
      <c r="T25" s="25"/>
    </row>
    <row r="26" spans="1:20" ht="15.75" thickBot="1">
      <c r="A26" s="71" t="s">
        <v>40</v>
      </c>
      <c r="B26" s="22" t="s">
        <v>41</v>
      </c>
      <c r="C26" s="23">
        <f>SUM(C27:C27)</f>
        <v>23595991</v>
      </c>
      <c r="D26" s="23">
        <f aca="true" t="shared" si="5" ref="D26:O26">SUM(D27:D27)</f>
        <v>0</v>
      </c>
      <c r="E26" s="23">
        <f t="shared" si="5"/>
        <v>0</v>
      </c>
      <c r="F26" s="56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62379</v>
      </c>
      <c r="K26" s="23">
        <f t="shared" si="5"/>
        <v>0</v>
      </c>
      <c r="L26" s="23">
        <f t="shared" si="5"/>
        <v>11000</v>
      </c>
      <c r="M26" s="23">
        <f t="shared" si="5"/>
        <v>200</v>
      </c>
      <c r="N26" s="23">
        <f t="shared" si="5"/>
        <v>0</v>
      </c>
      <c r="O26" s="56">
        <f t="shared" si="5"/>
        <v>0</v>
      </c>
      <c r="P26" s="57">
        <f t="shared" si="1"/>
        <v>23669570</v>
      </c>
      <c r="Q26" s="265"/>
      <c r="R26" s="24"/>
      <c r="S26" s="25"/>
      <c r="T26" s="25"/>
    </row>
    <row r="27" spans="1:20" ht="30.75" thickBot="1">
      <c r="A27" s="72" t="s">
        <v>42</v>
      </c>
      <c r="B27" s="73" t="s">
        <v>43</v>
      </c>
      <c r="C27" s="281">
        <f>23595991</f>
        <v>23595991</v>
      </c>
      <c r="D27" s="64"/>
      <c r="E27" s="65"/>
      <c r="F27" s="65"/>
      <c r="G27" s="64"/>
      <c r="H27" s="65"/>
      <c r="I27" s="65"/>
      <c r="J27" s="65">
        <v>62379</v>
      </c>
      <c r="K27" s="65"/>
      <c r="L27" s="65">
        <v>11000</v>
      </c>
      <c r="M27" s="65">
        <v>200</v>
      </c>
      <c r="N27" s="65"/>
      <c r="O27" s="30"/>
      <c r="P27" s="31">
        <f t="shared" si="1"/>
        <v>23669570</v>
      </c>
      <c r="Q27" s="265"/>
      <c r="R27" s="24"/>
      <c r="S27" s="32"/>
      <c r="T27" s="25"/>
    </row>
    <row r="28" spans="1:20" ht="15.75" thickBot="1">
      <c r="A28" s="71" t="s">
        <v>44</v>
      </c>
      <c r="B28" s="22" t="s">
        <v>45</v>
      </c>
      <c r="C28" s="56">
        <f>SUM(C29:C31)</f>
        <v>600000</v>
      </c>
      <c r="D28" s="56">
        <f aca="true" t="shared" si="6" ref="D28:O28">SUM(D29:D31)</f>
        <v>0</v>
      </c>
      <c r="E28" s="56">
        <f t="shared" si="6"/>
        <v>0</v>
      </c>
      <c r="F28" s="56">
        <f t="shared" si="6"/>
        <v>0</v>
      </c>
      <c r="G28" s="23">
        <f t="shared" si="6"/>
        <v>0</v>
      </c>
      <c r="H28" s="23">
        <f t="shared" si="6"/>
        <v>0</v>
      </c>
      <c r="I28" s="23">
        <f t="shared" si="6"/>
        <v>0</v>
      </c>
      <c r="J28" s="23">
        <f t="shared" si="6"/>
        <v>0</v>
      </c>
      <c r="K28" s="23">
        <f t="shared" si="6"/>
        <v>0</v>
      </c>
      <c r="L28" s="23">
        <f t="shared" si="6"/>
        <v>0</v>
      </c>
      <c r="M28" s="23">
        <f t="shared" si="6"/>
        <v>0</v>
      </c>
      <c r="N28" s="23">
        <f>SUM(N29:N31)</f>
        <v>0</v>
      </c>
      <c r="O28" s="56">
        <f t="shared" si="6"/>
        <v>0</v>
      </c>
      <c r="P28" s="57">
        <f t="shared" si="1"/>
        <v>600000</v>
      </c>
      <c r="Q28" s="265"/>
      <c r="R28" s="24"/>
      <c r="S28" s="25"/>
      <c r="T28" s="25"/>
    </row>
    <row r="29" spans="1:20" ht="30">
      <c r="A29" s="26" t="s">
        <v>46</v>
      </c>
      <c r="B29" s="27" t="s">
        <v>47</v>
      </c>
      <c r="C29" s="65"/>
      <c r="D29" s="65"/>
      <c r="E29" s="65"/>
      <c r="F29" s="65"/>
      <c r="G29" s="64"/>
      <c r="H29" s="65"/>
      <c r="I29" s="65"/>
      <c r="J29" s="65"/>
      <c r="K29" s="65"/>
      <c r="L29" s="65"/>
      <c r="M29" s="65"/>
      <c r="N29" s="65"/>
      <c r="O29" s="30"/>
      <c r="P29" s="31">
        <f t="shared" si="1"/>
        <v>0</v>
      </c>
      <c r="Q29" s="265"/>
      <c r="R29" s="24"/>
      <c r="S29" s="32"/>
      <c r="T29" s="25"/>
    </row>
    <row r="30" spans="1:20" ht="30">
      <c r="A30" s="33" t="s">
        <v>48</v>
      </c>
      <c r="B30" s="34" t="s">
        <v>49</v>
      </c>
      <c r="C30" s="155">
        <v>600000</v>
      </c>
      <c r="D30" s="29"/>
      <c r="E30" s="29"/>
      <c r="F30" s="29"/>
      <c r="G30" s="28"/>
      <c r="H30" s="29"/>
      <c r="I30" s="29"/>
      <c r="J30" s="29"/>
      <c r="K30" s="29"/>
      <c r="L30" s="28"/>
      <c r="M30" s="29"/>
      <c r="N30" s="29"/>
      <c r="O30" s="30"/>
      <c r="P30" s="31">
        <f t="shared" si="1"/>
        <v>600000</v>
      </c>
      <c r="Q30" s="265"/>
      <c r="R30" s="24"/>
      <c r="S30" s="32"/>
      <c r="T30" s="25"/>
    </row>
    <row r="31" spans="1:20" ht="33" customHeight="1" thickBot="1">
      <c r="A31" s="50" t="s">
        <v>50</v>
      </c>
      <c r="B31" s="284" t="s">
        <v>51</v>
      </c>
      <c r="C31" s="49"/>
      <c r="D31" s="49"/>
      <c r="E31" s="53"/>
      <c r="F31" s="53"/>
      <c r="G31" s="48"/>
      <c r="H31" s="49"/>
      <c r="I31" s="52"/>
      <c r="J31" s="49"/>
      <c r="K31" s="53"/>
      <c r="L31" s="74"/>
      <c r="M31" s="75"/>
      <c r="N31" s="76"/>
      <c r="O31" s="54"/>
      <c r="P31" s="55">
        <f t="shared" si="1"/>
        <v>0</v>
      </c>
      <c r="Q31" s="265"/>
      <c r="R31" s="24"/>
      <c r="S31" s="32"/>
      <c r="T31" s="25"/>
    </row>
    <row r="32" spans="1:20" ht="15.75" thickBot="1">
      <c r="A32" s="71" t="s">
        <v>52</v>
      </c>
      <c r="B32" s="22" t="s">
        <v>53</v>
      </c>
      <c r="C32" s="56">
        <f aca="true" t="shared" si="7" ref="C32:O32">SUM(C33,C34,C40)</f>
        <v>1328492</v>
      </c>
      <c r="D32" s="56">
        <f t="shared" si="7"/>
        <v>2944892</v>
      </c>
      <c r="E32" s="56">
        <f t="shared" si="7"/>
        <v>256150</v>
      </c>
      <c r="F32" s="56">
        <f t="shared" si="7"/>
        <v>475130</v>
      </c>
      <c r="G32" s="56">
        <f t="shared" si="7"/>
        <v>89272</v>
      </c>
      <c r="H32" s="56">
        <f t="shared" si="7"/>
        <v>158450</v>
      </c>
      <c r="I32" s="56">
        <f t="shared" si="7"/>
        <v>153900</v>
      </c>
      <c r="J32" s="56">
        <f t="shared" si="7"/>
        <v>1227431</v>
      </c>
      <c r="K32" s="56">
        <f t="shared" si="7"/>
        <v>10000</v>
      </c>
      <c r="L32" s="56">
        <f t="shared" si="7"/>
        <v>21000</v>
      </c>
      <c r="M32" s="56">
        <f t="shared" si="7"/>
        <v>15000</v>
      </c>
      <c r="N32" s="56">
        <f t="shared" si="7"/>
        <v>74000</v>
      </c>
      <c r="O32" s="56">
        <f t="shared" si="7"/>
        <v>4132</v>
      </c>
      <c r="P32" s="57">
        <f>SUM(C32:O32)</f>
        <v>6757849</v>
      </c>
      <c r="Q32" s="265"/>
      <c r="R32" s="24"/>
      <c r="S32" s="25"/>
      <c r="T32" s="25"/>
    </row>
    <row r="33" spans="1:20" ht="31.5">
      <c r="A33" s="77" t="s">
        <v>54</v>
      </c>
      <c r="B33" s="78" t="s">
        <v>55</v>
      </c>
      <c r="C33" s="79">
        <v>18249</v>
      </c>
      <c r="D33" s="65"/>
      <c r="E33" s="65"/>
      <c r="F33" s="65"/>
      <c r="G33" s="64"/>
      <c r="H33" s="64"/>
      <c r="I33" s="64"/>
      <c r="J33" s="64"/>
      <c r="K33" s="64"/>
      <c r="L33" s="64"/>
      <c r="M33" s="64"/>
      <c r="N33" s="65"/>
      <c r="O33" s="30"/>
      <c r="P33" s="31">
        <f>SUM(C33:N33)</f>
        <v>18249</v>
      </c>
      <c r="Q33" s="265"/>
      <c r="R33" s="24"/>
      <c r="S33" s="25"/>
      <c r="T33" s="25"/>
    </row>
    <row r="34" spans="1:20" ht="43.5">
      <c r="A34" s="80" t="s">
        <v>56</v>
      </c>
      <c r="B34" s="81" t="s">
        <v>57</v>
      </c>
      <c r="C34" s="82">
        <f aca="true" t="shared" si="8" ref="C34:O34">SUM(C35:C39)</f>
        <v>1310243</v>
      </c>
      <c r="D34" s="82">
        <f t="shared" si="8"/>
        <v>2943892</v>
      </c>
      <c r="E34" s="82">
        <f t="shared" si="8"/>
        <v>256150</v>
      </c>
      <c r="F34" s="82">
        <f t="shared" si="8"/>
        <v>475130</v>
      </c>
      <c r="G34" s="82">
        <f t="shared" si="8"/>
        <v>89272</v>
      </c>
      <c r="H34" s="83">
        <f t="shared" si="8"/>
        <v>157450</v>
      </c>
      <c r="I34" s="82">
        <f t="shared" si="8"/>
        <v>153900</v>
      </c>
      <c r="J34" s="82">
        <f t="shared" si="8"/>
        <v>1227431</v>
      </c>
      <c r="K34" s="82">
        <f t="shared" si="8"/>
        <v>10000</v>
      </c>
      <c r="L34" s="82">
        <f t="shared" si="8"/>
        <v>21000</v>
      </c>
      <c r="M34" s="82">
        <f t="shared" si="8"/>
        <v>15000</v>
      </c>
      <c r="N34" s="82">
        <f t="shared" si="8"/>
        <v>74000</v>
      </c>
      <c r="O34" s="83">
        <f t="shared" si="8"/>
        <v>4132</v>
      </c>
      <c r="P34" s="31">
        <f>SUM(C34:O34)</f>
        <v>6737600</v>
      </c>
      <c r="Q34" s="265"/>
      <c r="R34" s="24"/>
      <c r="S34" s="25"/>
      <c r="T34" s="25"/>
    </row>
    <row r="35" spans="1:20" ht="30">
      <c r="A35" s="37" t="s">
        <v>58</v>
      </c>
      <c r="B35" s="34" t="s">
        <v>59</v>
      </c>
      <c r="C35" s="84"/>
      <c r="D35" s="84"/>
      <c r="E35" s="84"/>
      <c r="F35" s="85"/>
      <c r="G35" s="82"/>
      <c r="H35" s="83"/>
      <c r="I35" s="82"/>
      <c r="J35" s="42">
        <v>168</v>
      </c>
      <c r="K35" s="82"/>
      <c r="L35" s="83"/>
      <c r="M35" s="82"/>
      <c r="N35" s="83"/>
      <c r="O35" s="86"/>
      <c r="P35" s="31">
        <f aca="true" t="shared" si="9" ref="P35:P44">SUM(C35:O35)</f>
        <v>168</v>
      </c>
      <c r="Q35" s="265"/>
      <c r="R35" s="24"/>
      <c r="S35" s="32"/>
      <c r="T35" s="25"/>
    </row>
    <row r="36" spans="1:20" ht="15">
      <c r="A36" s="37" t="s">
        <v>60</v>
      </c>
      <c r="B36" s="34" t="s">
        <v>61</v>
      </c>
      <c r="C36" s="35">
        <v>374350</v>
      </c>
      <c r="D36" s="84"/>
      <c r="E36" s="84"/>
      <c r="F36" s="29"/>
      <c r="G36" s="28">
        <v>77112</v>
      </c>
      <c r="H36" s="82"/>
      <c r="I36" s="28">
        <v>12930</v>
      </c>
      <c r="J36" s="28">
        <v>64176</v>
      </c>
      <c r="K36" s="82"/>
      <c r="L36" s="82"/>
      <c r="M36" s="82"/>
      <c r="N36" s="29">
        <v>8000</v>
      </c>
      <c r="O36" s="86"/>
      <c r="P36" s="31">
        <f t="shared" si="9"/>
        <v>536568</v>
      </c>
      <c r="Q36" s="265"/>
      <c r="R36" s="24"/>
      <c r="S36" s="32"/>
      <c r="T36" s="25"/>
    </row>
    <row r="37" spans="1:20" ht="30">
      <c r="A37" s="37" t="s">
        <v>62</v>
      </c>
      <c r="B37" s="34" t="s">
        <v>63</v>
      </c>
      <c r="C37" s="28"/>
      <c r="D37" s="28"/>
      <c r="E37" s="29"/>
      <c r="F37" s="29"/>
      <c r="G37" s="28"/>
      <c r="H37" s="28">
        <v>10</v>
      </c>
      <c r="I37" s="28"/>
      <c r="J37" s="28"/>
      <c r="K37" s="28"/>
      <c r="L37" s="28"/>
      <c r="M37" s="28"/>
      <c r="N37" s="29"/>
      <c r="O37" s="30"/>
      <c r="P37" s="31">
        <f t="shared" si="9"/>
        <v>10</v>
      </c>
      <c r="Q37" s="265"/>
      <c r="R37" s="24"/>
      <c r="S37" s="32"/>
      <c r="T37" s="25"/>
    </row>
    <row r="38" spans="1:20" ht="15">
      <c r="A38" s="37" t="s">
        <v>64</v>
      </c>
      <c r="B38" s="34" t="s">
        <v>65</v>
      </c>
      <c r="C38" s="28">
        <v>558280</v>
      </c>
      <c r="D38" s="276">
        <v>36036</v>
      </c>
      <c r="E38" s="28">
        <v>56550</v>
      </c>
      <c r="F38" s="28">
        <v>17052</v>
      </c>
      <c r="G38" s="35">
        <v>7160</v>
      </c>
      <c r="H38" s="28">
        <v>17205</v>
      </c>
      <c r="I38" s="28">
        <v>7100</v>
      </c>
      <c r="J38" s="28">
        <v>20198</v>
      </c>
      <c r="K38" s="29">
        <v>1400</v>
      </c>
      <c r="L38" s="88">
        <v>3000</v>
      </c>
      <c r="M38" s="89">
        <v>4000</v>
      </c>
      <c r="N38" s="42">
        <v>6000</v>
      </c>
      <c r="O38" s="30"/>
      <c r="P38" s="31">
        <f>SUM(C38:O38)</f>
        <v>733981</v>
      </c>
      <c r="Q38" s="265"/>
      <c r="R38" s="24"/>
      <c r="S38" s="32"/>
      <c r="T38" s="25"/>
    </row>
    <row r="39" spans="1:20" ht="30">
      <c r="A39" s="37" t="s">
        <v>66</v>
      </c>
      <c r="B39" s="34" t="s">
        <v>67</v>
      </c>
      <c r="C39" s="28">
        <v>377613</v>
      </c>
      <c r="D39" s="276">
        <v>2907856</v>
      </c>
      <c r="E39" s="28">
        <v>199600</v>
      </c>
      <c r="F39" s="28">
        <v>458078</v>
      </c>
      <c r="G39" s="90">
        <v>5000</v>
      </c>
      <c r="H39" s="35">
        <v>140235</v>
      </c>
      <c r="I39" s="28">
        <v>133870</v>
      </c>
      <c r="J39" s="35">
        <v>1142889</v>
      </c>
      <c r="K39" s="29">
        <v>8600</v>
      </c>
      <c r="L39" s="88">
        <v>18000</v>
      </c>
      <c r="M39" s="39">
        <v>11000</v>
      </c>
      <c r="N39" s="42">
        <v>60000</v>
      </c>
      <c r="O39" s="30">
        <v>4132</v>
      </c>
      <c r="P39" s="31">
        <f>SUM(C39:O39)</f>
        <v>5466873</v>
      </c>
      <c r="Q39" s="265"/>
      <c r="R39" s="24"/>
      <c r="S39" s="32"/>
      <c r="T39" s="25"/>
    </row>
    <row r="40" spans="1:20" ht="30" thickBot="1">
      <c r="A40" s="80" t="s">
        <v>68</v>
      </c>
      <c r="B40" s="81" t="s">
        <v>69</v>
      </c>
      <c r="C40" s="69"/>
      <c r="D40" s="69">
        <v>1000</v>
      </c>
      <c r="E40" s="70"/>
      <c r="F40" s="70"/>
      <c r="G40" s="91"/>
      <c r="H40" s="69">
        <v>1000</v>
      </c>
      <c r="I40" s="92"/>
      <c r="J40" s="92"/>
      <c r="K40" s="93"/>
      <c r="L40" s="69"/>
      <c r="M40" s="92"/>
      <c r="N40" s="92"/>
      <c r="O40" s="93"/>
      <c r="P40" s="31">
        <f t="shared" si="9"/>
        <v>2000</v>
      </c>
      <c r="Q40" s="265"/>
      <c r="R40" s="24"/>
      <c r="S40" s="32"/>
      <c r="T40" s="25"/>
    </row>
    <row r="41" spans="1:20" ht="15.75" thickBot="1">
      <c r="A41" s="94"/>
      <c r="B41" s="95" t="s">
        <v>70</v>
      </c>
      <c r="C41" s="96">
        <f aca="true" t="shared" si="10" ref="C41:O41">SUM(C8+C17+C25+C26+C28+C32)</f>
        <v>84509608</v>
      </c>
      <c r="D41" s="96">
        <f t="shared" si="10"/>
        <v>2945092</v>
      </c>
      <c r="E41" s="96">
        <f t="shared" si="10"/>
        <v>256150</v>
      </c>
      <c r="F41" s="97">
        <f t="shared" si="10"/>
        <v>475130</v>
      </c>
      <c r="G41" s="96">
        <f t="shared" si="10"/>
        <v>218322</v>
      </c>
      <c r="H41" s="96">
        <f t="shared" si="10"/>
        <v>238963</v>
      </c>
      <c r="I41" s="96">
        <f t="shared" si="10"/>
        <v>199000</v>
      </c>
      <c r="J41" s="96">
        <f t="shared" si="10"/>
        <v>1407358</v>
      </c>
      <c r="K41" s="96">
        <f t="shared" si="10"/>
        <v>78500</v>
      </c>
      <c r="L41" s="96">
        <f t="shared" si="10"/>
        <v>91550</v>
      </c>
      <c r="M41" s="96">
        <f t="shared" si="10"/>
        <v>71111</v>
      </c>
      <c r="N41" s="96">
        <f t="shared" si="10"/>
        <v>150120</v>
      </c>
      <c r="O41" s="96">
        <f t="shared" si="10"/>
        <v>44132</v>
      </c>
      <c r="P41" s="57">
        <f t="shared" si="9"/>
        <v>90685036</v>
      </c>
      <c r="Q41" s="265"/>
      <c r="R41" s="24"/>
      <c r="S41" s="25"/>
      <c r="T41" s="25"/>
    </row>
    <row r="42" spans="1:20" ht="15">
      <c r="A42" s="98" t="s">
        <v>71</v>
      </c>
      <c r="B42" s="99" t="s">
        <v>72</v>
      </c>
      <c r="C42" s="270">
        <v>11551434</v>
      </c>
      <c r="D42" s="64"/>
      <c r="E42" s="65"/>
      <c r="F42" s="65"/>
      <c r="G42" s="64"/>
      <c r="H42" s="64"/>
      <c r="I42" s="64"/>
      <c r="J42" s="64"/>
      <c r="K42" s="64"/>
      <c r="L42" s="64"/>
      <c r="M42" s="65"/>
      <c r="N42" s="100"/>
      <c r="O42" s="100"/>
      <c r="P42" s="101">
        <f t="shared" si="9"/>
        <v>11551434</v>
      </c>
      <c r="Q42" s="265"/>
      <c r="R42" s="24"/>
      <c r="S42" s="25"/>
      <c r="T42" s="25"/>
    </row>
    <row r="43" spans="1:20" ht="15">
      <c r="A43" s="102"/>
      <c r="B43" s="103" t="s">
        <v>73</v>
      </c>
      <c r="C43" s="104">
        <f aca="true" t="shared" si="11" ref="C43:O43">SUM(C41:C42)</f>
        <v>96061042</v>
      </c>
      <c r="D43" s="102">
        <f t="shared" si="11"/>
        <v>2945092</v>
      </c>
      <c r="E43" s="102">
        <f t="shared" si="11"/>
        <v>256150</v>
      </c>
      <c r="F43" s="105">
        <f t="shared" si="11"/>
        <v>475130</v>
      </c>
      <c r="G43" s="102">
        <f t="shared" si="11"/>
        <v>218322</v>
      </c>
      <c r="H43" s="102">
        <f t="shared" si="11"/>
        <v>238963</v>
      </c>
      <c r="I43" s="102">
        <f t="shared" si="11"/>
        <v>199000</v>
      </c>
      <c r="J43" s="102">
        <f t="shared" si="11"/>
        <v>1407358</v>
      </c>
      <c r="K43" s="102">
        <f t="shared" si="11"/>
        <v>78500</v>
      </c>
      <c r="L43" s="102">
        <f t="shared" si="11"/>
        <v>91550</v>
      </c>
      <c r="M43" s="105">
        <f t="shared" si="11"/>
        <v>71111</v>
      </c>
      <c r="N43" s="102">
        <f>SUM(N41:N42)</f>
        <v>150120</v>
      </c>
      <c r="O43" s="102">
        <f t="shared" si="11"/>
        <v>44132</v>
      </c>
      <c r="P43" s="79">
        <f t="shared" si="9"/>
        <v>102236470</v>
      </c>
      <c r="Q43" s="265"/>
      <c r="R43" s="24"/>
      <c r="S43" s="32"/>
      <c r="T43" s="25"/>
    </row>
    <row r="44" spans="1:20" ht="18" customHeight="1">
      <c r="A44" s="106" t="s">
        <v>74</v>
      </c>
      <c r="B44" s="107" t="s">
        <v>603</v>
      </c>
      <c r="C44" s="108">
        <v>19947705</v>
      </c>
      <c r="D44" s="87">
        <v>1364869</v>
      </c>
      <c r="E44" s="28">
        <v>239214</v>
      </c>
      <c r="F44" s="28">
        <v>145455</v>
      </c>
      <c r="G44" s="35">
        <v>322323</v>
      </c>
      <c r="H44" s="28">
        <v>52591</v>
      </c>
      <c r="I44" s="28">
        <v>248062</v>
      </c>
      <c r="J44" s="173">
        <v>228429</v>
      </c>
      <c r="K44" s="29">
        <v>135648</v>
      </c>
      <c r="L44" s="28">
        <v>31698</v>
      </c>
      <c r="M44" s="28">
        <v>36111</v>
      </c>
      <c r="N44" s="28">
        <v>59976</v>
      </c>
      <c r="O44" s="64">
        <v>75911</v>
      </c>
      <c r="P44" s="79">
        <f t="shared" si="9"/>
        <v>22887992</v>
      </c>
      <c r="Q44" s="265"/>
      <c r="R44" s="24"/>
      <c r="S44" s="32"/>
      <c r="T44" s="25"/>
    </row>
    <row r="45" spans="1:20" ht="15">
      <c r="A45" s="106" t="s">
        <v>609</v>
      </c>
      <c r="B45" s="109" t="s">
        <v>75</v>
      </c>
      <c r="C45" s="110"/>
      <c r="D45" s="28"/>
      <c r="E45" s="29"/>
      <c r="F45" s="29"/>
      <c r="G45" s="28"/>
      <c r="H45" s="28"/>
      <c r="I45" s="28"/>
      <c r="J45" s="28"/>
      <c r="K45" s="28"/>
      <c r="L45" s="28"/>
      <c r="M45" s="29"/>
      <c r="N45" s="28"/>
      <c r="O45" s="64"/>
      <c r="P45" s="79">
        <f>SUM(C45:N45)</f>
        <v>0</v>
      </c>
      <c r="Q45" s="265"/>
      <c r="R45" s="24"/>
      <c r="S45" s="32"/>
      <c r="T45" s="25"/>
    </row>
    <row r="46" spans="1:20" ht="15">
      <c r="A46" s="102"/>
      <c r="B46" s="107" t="s">
        <v>76</v>
      </c>
      <c r="C46" s="111">
        <f aca="true" t="shared" si="12" ref="C46:O46">SUM(C43:C44)</f>
        <v>116008747</v>
      </c>
      <c r="D46" s="111">
        <f t="shared" si="12"/>
        <v>4309961</v>
      </c>
      <c r="E46" s="111">
        <f t="shared" si="12"/>
        <v>495364</v>
      </c>
      <c r="F46" s="111">
        <f t="shared" si="12"/>
        <v>620585</v>
      </c>
      <c r="G46" s="111">
        <f t="shared" si="12"/>
        <v>540645</v>
      </c>
      <c r="H46" s="111">
        <f t="shared" si="12"/>
        <v>291554</v>
      </c>
      <c r="I46" s="111">
        <f t="shared" si="12"/>
        <v>447062</v>
      </c>
      <c r="J46" s="111">
        <f t="shared" si="12"/>
        <v>1635787</v>
      </c>
      <c r="K46" s="111">
        <f t="shared" si="12"/>
        <v>214148</v>
      </c>
      <c r="L46" s="111">
        <f t="shared" si="12"/>
        <v>123248</v>
      </c>
      <c r="M46" s="111">
        <f t="shared" si="12"/>
        <v>107222</v>
      </c>
      <c r="N46" s="111">
        <f>SUM(N43:N44)</f>
        <v>210096</v>
      </c>
      <c r="O46" s="111">
        <f t="shared" si="12"/>
        <v>120043</v>
      </c>
      <c r="P46" s="111">
        <f>SUM(P43:P44)</f>
        <v>125124462</v>
      </c>
      <c r="Q46" s="265"/>
      <c r="R46" s="24"/>
      <c r="S46" s="32"/>
      <c r="T46" s="25"/>
    </row>
    <row r="47" spans="1:20" ht="15">
      <c r="A47" s="112"/>
      <c r="B47" s="11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65"/>
      <c r="R47" s="24"/>
      <c r="S47" s="32"/>
      <c r="T47" s="25"/>
    </row>
    <row r="48" spans="1:18" ht="15">
      <c r="A48" s="112"/>
      <c r="B48" s="113"/>
      <c r="C48" s="114"/>
      <c r="D48" s="112"/>
      <c r="E48" s="112"/>
      <c r="F48" s="112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">
      <c r="A49" s="112"/>
      <c r="B49" s="113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24"/>
      <c r="R49" s="24"/>
    </row>
    <row r="50" spans="1:18" ht="15">
      <c r="A50" s="116"/>
      <c r="B50" s="2" t="s">
        <v>77</v>
      </c>
      <c r="C50" s="116" t="s">
        <v>78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/>
      <c r="Q50" s="117"/>
      <c r="R50" s="117"/>
    </row>
    <row r="51" spans="1:18" ht="15">
      <c r="A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7"/>
      <c r="Q51" s="117"/>
      <c r="R51" s="117"/>
    </row>
  </sheetData>
  <sheetProtection/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0"/>
  <sheetViews>
    <sheetView zoomScalePageLayoutView="0" workbookViewId="0" topLeftCell="A1">
      <selection activeCell="O3" sqref="O3"/>
    </sheetView>
  </sheetViews>
  <sheetFormatPr defaultColWidth="9.140625" defaultRowHeight="15" outlineLevelRow="1"/>
  <cols>
    <col min="1" max="1" width="13.28125" style="1" customWidth="1"/>
    <col min="2" max="2" width="41.00390625" style="2" customWidth="1"/>
    <col min="3" max="3" width="13.421875" style="1" bestFit="1" customWidth="1"/>
    <col min="4" max="4" width="10.8515625" style="1" customWidth="1"/>
    <col min="5" max="5" width="10.8515625" style="1" bestFit="1" customWidth="1"/>
    <col min="6" max="6" width="9.140625" style="1" bestFit="1" customWidth="1"/>
    <col min="7" max="7" width="10.8515625" style="1" bestFit="1" customWidth="1"/>
    <col min="8" max="8" width="9.00390625" style="1" customWidth="1"/>
    <col min="9" max="9" width="10.140625" style="1" bestFit="1" customWidth="1"/>
    <col min="10" max="10" width="10.7109375" style="1" customWidth="1"/>
    <col min="11" max="11" width="8.8515625" style="1" customWidth="1"/>
    <col min="12" max="12" width="9.7109375" style="1" customWidth="1"/>
    <col min="13" max="13" width="9.28125" style="1" customWidth="1"/>
    <col min="14" max="14" width="10.140625" style="1" bestFit="1" customWidth="1"/>
    <col min="15" max="15" width="10.140625" style="1" customWidth="1"/>
    <col min="16" max="16" width="13.00390625" style="5" customWidth="1"/>
    <col min="17" max="17" width="10.421875" style="5" customWidth="1"/>
    <col min="18" max="18" width="12.421875" style="5" customWidth="1"/>
    <col min="19" max="19" width="6.8515625" style="1" customWidth="1"/>
    <col min="20" max="20" width="12.57421875" style="1" customWidth="1"/>
    <col min="21" max="16384" width="9.140625" style="1" customWidth="1"/>
  </cols>
  <sheetData>
    <row r="1" spans="1:16" ht="15" outlineLevel="1">
      <c r="A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8" t="s">
        <v>79</v>
      </c>
      <c r="P1" s="117"/>
    </row>
    <row r="2" spans="1:16" ht="15" outlineLevel="1">
      <c r="A2" s="112"/>
      <c r="B2" s="113"/>
      <c r="C2" s="116"/>
      <c r="D2" s="119"/>
      <c r="E2" s="119"/>
      <c r="F2" s="119"/>
      <c r="G2" s="116"/>
      <c r="H2" s="116"/>
      <c r="I2" s="116"/>
      <c r="J2" s="116"/>
      <c r="K2" s="116"/>
      <c r="L2" s="116"/>
      <c r="M2" s="116"/>
      <c r="N2" s="116"/>
      <c r="O2" s="118" t="s">
        <v>2</v>
      </c>
      <c r="P2" s="117"/>
    </row>
    <row r="3" spans="1:16" ht="15" outlineLevel="1">
      <c r="A3" s="112"/>
      <c r="B3" s="113"/>
      <c r="C3" s="116"/>
      <c r="D3" s="120"/>
      <c r="E3" s="120"/>
      <c r="F3" s="120"/>
      <c r="G3" s="116"/>
      <c r="H3" s="116"/>
      <c r="I3" s="116"/>
      <c r="J3" s="116"/>
      <c r="K3" s="116"/>
      <c r="L3" s="116"/>
      <c r="M3" s="116"/>
      <c r="N3" s="116"/>
      <c r="O3" s="118" t="s">
        <v>639</v>
      </c>
      <c r="P3" s="117"/>
    </row>
    <row r="4" spans="1:16" ht="15" outlineLevel="1">
      <c r="A4" s="121"/>
      <c r="B4" s="122"/>
      <c r="C4" s="116"/>
      <c r="D4" s="120"/>
      <c r="E4" s="120"/>
      <c r="F4" s="120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1:16" ht="21" outlineLevel="1" thickBot="1">
      <c r="A5" s="288" t="s">
        <v>602</v>
      </c>
      <c r="B5" s="288"/>
      <c r="C5" s="288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7"/>
    </row>
    <row r="6" spans="1:16" ht="135.75" thickBot="1">
      <c r="A6" s="123" t="s">
        <v>3</v>
      </c>
      <c r="B6" s="124" t="s">
        <v>4</v>
      </c>
      <c r="C6" s="12" t="s">
        <v>589</v>
      </c>
      <c r="D6" s="125" t="s">
        <v>590</v>
      </c>
      <c r="E6" s="14" t="s">
        <v>591</v>
      </c>
      <c r="F6" s="12" t="s">
        <v>592</v>
      </c>
      <c r="G6" s="126" t="s">
        <v>593</v>
      </c>
      <c r="H6" s="126" t="s">
        <v>594</v>
      </c>
      <c r="I6" s="126" t="s">
        <v>595</v>
      </c>
      <c r="J6" s="126" t="s">
        <v>596</v>
      </c>
      <c r="K6" s="126" t="s">
        <v>597</v>
      </c>
      <c r="L6" s="126" t="s">
        <v>598</v>
      </c>
      <c r="M6" s="126" t="s">
        <v>599</v>
      </c>
      <c r="N6" s="127" t="s">
        <v>600</v>
      </c>
      <c r="O6" s="16" t="s">
        <v>5</v>
      </c>
      <c r="P6" s="128" t="s">
        <v>601</v>
      </c>
    </row>
    <row r="7" spans="1:20" ht="15.75" thickBot="1">
      <c r="A7" s="129" t="s">
        <v>80</v>
      </c>
      <c r="B7" s="22" t="s">
        <v>81</v>
      </c>
      <c r="C7" s="56">
        <f>C8+C9+C10+C12+C13+C15</f>
        <v>11279789</v>
      </c>
      <c r="D7" s="56">
        <f aca="true" t="shared" si="0" ref="D7:P7">D8+D9+D10+D12+D13+D15</f>
        <v>0</v>
      </c>
      <c r="E7" s="56">
        <f t="shared" si="0"/>
        <v>0</v>
      </c>
      <c r="F7" s="56">
        <f t="shared" si="0"/>
        <v>0</v>
      </c>
      <c r="G7" s="56">
        <f t="shared" si="0"/>
        <v>159007</v>
      </c>
      <c r="H7" s="56">
        <f t="shared" si="0"/>
        <v>83894</v>
      </c>
      <c r="I7" s="56">
        <f t="shared" si="0"/>
        <v>148865</v>
      </c>
      <c r="J7" s="56">
        <f t="shared" si="0"/>
        <v>147983</v>
      </c>
      <c r="K7" s="56">
        <f t="shared" si="0"/>
        <v>120498</v>
      </c>
      <c r="L7" s="56">
        <f t="shared" si="0"/>
        <v>79318</v>
      </c>
      <c r="M7" s="56">
        <f t="shared" si="0"/>
        <v>85135</v>
      </c>
      <c r="N7" s="56">
        <f t="shared" si="0"/>
        <v>134626</v>
      </c>
      <c r="O7" s="56">
        <f t="shared" si="0"/>
        <v>0</v>
      </c>
      <c r="P7" s="287">
        <f t="shared" si="0"/>
        <v>12239115</v>
      </c>
      <c r="Q7" s="19"/>
      <c r="R7" s="19"/>
      <c r="S7" s="20"/>
      <c r="T7" s="20"/>
    </row>
    <row r="8" spans="1:20" ht="29.25">
      <c r="A8" s="130" t="s">
        <v>82</v>
      </c>
      <c r="B8" s="131" t="s">
        <v>83</v>
      </c>
      <c r="C8" s="132">
        <v>6157907</v>
      </c>
      <c r="D8" s="275"/>
      <c r="E8" s="64"/>
      <c r="F8" s="100"/>
      <c r="G8" s="101">
        <v>159007</v>
      </c>
      <c r="H8" s="133">
        <v>83894</v>
      </c>
      <c r="I8" s="101">
        <v>144865</v>
      </c>
      <c r="J8" s="133">
        <v>142432</v>
      </c>
      <c r="K8" s="101">
        <v>120498</v>
      </c>
      <c r="L8" s="101">
        <v>79318</v>
      </c>
      <c r="M8" s="101">
        <v>85135</v>
      </c>
      <c r="N8" s="101">
        <v>134626</v>
      </c>
      <c r="O8" s="134"/>
      <c r="P8" s="135">
        <f aca="true" t="shared" si="1" ref="P8:P21">SUM(C8:O8)</f>
        <v>7107682</v>
      </c>
      <c r="Q8" s="265"/>
      <c r="R8" s="24"/>
      <c r="S8" s="25"/>
      <c r="T8" s="25"/>
    </row>
    <row r="9" spans="1:20" ht="29.25">
      <c r="A9" s="136" t="s">
        <v>84</v>
      </c>
      <c r="B9" s="131" t="s">
        <v>85</v>
      </c>
      <c r="C9" s="132">
        <f>144825+35960</f>
        <v>180785</v>
      </c>
      <c r="D9" s="64"/>
      <c r="E9" s="65"/>
      <c r="F9" s="65"/>
      <c r="G9" s="79"/>
      <c r="H9" s="138"/>
      <c r="I9" s="79"/>
      <c r="J9" s="134"/>
      <c r="K9" s="132"/>
      <c r="L9" s="132"/>
      <c r="M9" s="79"/>
      <c r="N9" s="134"/>
      <c r="O9" s="85"/>
      <c r="P9" s="139">
        <f t="shared" si="1"/>
        <v>180785</v>
      </c>
      <c r="Q9" s="265"/>
      <c r="R9" s="24"/>
      <c r="S9" s="32"/>
      <c r="T9" s="25"/>
    </row>
    <row r="10" spans="1:20" ht="15">
      <c r="A10" s="140" t="s">
        <v>86</v>
      </c>
      <c r="B10" s="81" t="s">
        <v>87</v>
      </c>
      <c r="C10" s="85">
        <f>SUM(C11:C11)</f>
        <v>2767717</v>
      </c>
      <c r="D10" s="85">
        <f>SUM(D11:D11)</f>
        <v>0</v>
      </c>
      <c r="E10" s="85">
        <f>SUM(E11:E11)</f>
        <v>0</v>
      </c>
      <c r="F10" s="85">
        <f>SUM(F11:F11)</f>
        <v>0</v>
      </c>
      <c r="G10" s="82">
        <f aca="true" t="shared" si="2" ref="G10:O10">SUM(G11:G11)</f>
        <v>0</v>
      </c>
      <c r="H10" s="82">
        <f t="shared" si="2"/>
        <v>0</v>
      </c>
      <c r="I10" s="82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5">
        <f t="shared" si="2"/>
        <v>0</v>
      </c>
      <c r="N10" s="85">
        <f t="shared" si="2"/>
        <v>0</v>
      </c>
      <c r="O10" s="85">
        <f t="shared" si="2"/>
        <v>0</v>
      </c>
      <c r="P10" s="139">
        <f t="shared" si="1"/>
        <v>2767717</v>
      </c>
      <c r="Q10" s="265"/>
      <c r="R10" s="24"/>
      <c r="S10" s="32"/>
      <c r="T10" s="25"/>
    </row>
    <row r="11" spans="1:20" ht="30">
      <c r="A11" s="37" t="s">
        <v>88</v>
      </c>
      <c r="B11" s="34" t="s">
        <v>89</v>
      </c>
      <c r="C11" s="29">
        <f>124733+2642984</f>
        <v>2767717</v>
      </c>
      <c r="D11" s="28"/>
      <c r="E11" s="29"/>
      <c r="F11" s="29"/>
      <c r="G11" s="28"/>
      <c r="H11" s="28"/>
      <c r="I11" s="28"/>
      <c r="J11" s="28"/>
      <c r="K11" s="28"/>
      <c r="L11" s="28"/>
      <c r="M11" s="28"/>
      <c r="N11" s="28"/>
      <c r="O11" s="29"/>
      <c r="P11" s="139">
        <f t="shared" si="1"/>
        <v>2767717</v>
      </c>
      <c r="Q11" s="265"/>
      <c r="R11" s="24"/>
      <c r="S11" s="32"/>
      <c r="T11" s="25"/>
    </row>
    <row r="12" spans="1:20" ht="29.25">
      <c r="A12" s="141" t="s">
        <v>613</v>
      </c>
      <c r="B12" s="142" t="s">
        <v>90</v>
      </c>
      <c r="C12" s="29">
        <v>273380</v>
      </c>
      <c r="D12" s="28"/>
      <c r="E12" s="29"/>
      <c r="F12" s="29"/>
      <c r="G12" s="28"/>
      <c r="H12" s="28"/>
      <c r="I12" s="28"/>
      <c r="J12" s="29"/>
      <c r="K12" s="29"/>
      <c r="L12" s="29"/>
      <c r="M12" s="29"/>
      <c r="N12" s="29"/>
      <c r="O12" s="29"/>
      <c r="P12" s="139">
        <f t="shared" si="1"/>
        <v>273380</v>
      </c>
      <c r="Q12" s="265"/>
      <c r="R12" s="24"/>
      <c r="S12" s="32"/>
      <c r="T12" s="25"/>
    </row>
    <row r="13" spans="1:20" ht="29.25">
      <c r="A13" s="140" t="s">
        <v>91</v>
      </c>
      <c r="B13" s="142" t="s">
        <v>92</v>
      </c>
      <c r="C13" s="85">
        <f aca="true" t="shared" si="3" ref="C13:O13">SUM(C14:C14)</f>
        <v>790000</v>
      </c>
      <c r="D13" s="85">
        <f t="shared" si="3"/>
        <v>0</v>
      </c>
      <c r="E13" s="85">
        <f t="shared" si="3"/>
        <v>0</v>
      </c>
      <c r="F13" s="85">
        <f t="shared" si="3"/>
        <v>0</v>
      </c>
      <c r="G13" s="85">
        <f t="shared" si="3"/>
        <v>0</v>
      </c>
      <c r="H13" s="85">
        <f t="shared" si="3"/>
        <v>0</v>
      </c>
      <c r="I13" s="85">
        <f t="shared" si="3"/>
        <v>0</v>
      </c>
      <c r="J13" s="85">
        <f t="shared" si="3"/>
        <v>0</v>
      </c>
      <c r="K13" s="85">
        <f t="shared" si="3"/>
        <v>0</v>
      </c>
      <c r="L13" s="85">
        <f t="shared" si="3"/>
        <v>0</v>
      </c>
      <c r="M13" s="85">
        <f t="shared" si="3"/>
        <v>0</v>
      </c>
      <c r="N13" s="85">
        <f t="shared" si="3"/>
        <v>0</v>
      </c>
      <c r="O13" s="85">
        <f t="shared" si="3"/>
        <v>0</v>
      </c>
      <c r="P13" s="139">
        <f t="shared" si="1"/>
        <v>790000</v>
      </c>
      <c r="Q13" s="265"/>
      <c r="R13" s="24"/>
      <c r="S13" s="32"/>
      <c r="T13" s="25"/>
    </row>
    <row r="14" spans="1:20" ht="15">
      <c r="A14" s="143" t="s">
        <v>93</v>
      </c>
      <c r="B14" s="34" t="s">
        <v>94</v>
      </c>
      <c r="C14" s="155">
        <v>790000</v>
      </c>
      <c r="D14" s="28"/>
      <c r="E14" s="29"/>
      <c r="F14" s="29"/>
      <c r="G14" s="28"/>
      <c r="H14" s="28"/>
      <c r="I14" s="28"/>
      <c r="J14" s="28"/>
      <c r="K14" s="28"/>
      <c r="L14" s="28"/>
      <c r="M14" s="28"/>
      <c r="N14" s="29"/>
      <c r="O14" s="29"/>
      <c r="P14" s="139">
        <f t="shared" si="1"/>
        <v>790000</v>
      </c>
      <c r="Q14" s="265"/>
      <c r="R14" s="24"/>
      <c r="S14" s="32"/>
      <c r="T14" s="25"/>
    </row>
    <row r="15" spans="1:20" ht="15.75" thickBot="1">
      <c r="A15" s="144" t="s">
        <v>95</v>
      </c>
      <c r="B15" s="145" t="s">
        <v>96</v>
      </c>
      <c r="C15" s="146">
        <v>1110000</v>
      </c>
      <c r="D15" s="147"/>
      <c r="E15" s="148"/>
      <c r="F15" s="148"/>
      <c r="G15" s="149"/>
      <c r="H15" s="147"/>
      <c r="I15" s="147">
        <v>4000</v>
      </c>
      <c r="J15" s="147">
        <v>5551</v>
      </c>
      <c r="K15" s="147"/>
      <c r="L15" s="147"/>
      <c r="M15" s="147"/>
      <c r="N15" s="149"/>
      <c r="O15" s="24"/>
      <c r="P15" s="150">
        <f t="shared" si="1"/>
        <v>1119551</v>
      </c>
      <c r="Q15" s="265"/>
      <c r="R15" s="24"/>
      <c r="S15" s="32"/>
      <c r="T15" s="25"/>
    </row>
    <row r="16" spans="1:20" ht="15.75" thickBot="1">
      <c r="A16" s="71" t="s">
        <v>97</v>
      </c>
      <c r="B16" s="22" t="s">
        <v>98</v>
      </c>
      <c r="C16" s="56">
        <f aca="true" t="shared" si="4" ref="C16:O16">SUM(C17:C18,C20:C21)</f>
        <v>1889141</v>
      </c>
      <c r="D16" s="56">
        <f t="shared" si="4"/>
        <v>0</v>
      </c>
      <c r="E16" s="56">
        <f t="shared" si="4"/>
        <v>0</v>
      </c>
      <c r="F16" s="56">
        <f t="shared" si="4"/>
        <v>0</v>
      </c>
      <c r="G16" s="56">
        <f t="shared" si="4"/>
        <v>4500</v>
      </c>
      <c r="H16" s="56">
        <f t="shared" si="4"/>
        <v>0</v>
      </c>
      <c r="I16" s="56">
        <f t="shared" si="4"/>
        <v>407</v>
      </c>
      <c r="J16" s="56">
        <f t="shared" si="4"/>
        <v>4642</v>
      </c>
      <c r="K16" s="56">
        <f t="shared" si="4"/>
        <v>0</v>
      </c>
      <c r="L16" s="56">
        <f t="shared" si="4"/>
        <v>0</v>
      </c>
      <c r="M16" s="56">
        <f t="shared" si="4"/>
        <v>0</v>
      </c>
      <c r="N16" s="56">
        <f t="shared" si="4"/>
        <v>372</v>
      </c>
      <c r="O16" s="56">
        <f t="shared" si="4"/>
        <v>0</v>
      </c>
      <c r="P16" s="57">
        <f t="shared" si="1"/>
        <v>1899062</v>
      </c>
      <c r="Q16" s="265"/>
      <c r="R16" s="24"/>
      <c r="S16" s="25"/>
      <c r="T16" s="25"/>
    </row>
    <row r="17" spans="1:20" ht="15">
      <c r="A17" s="130" t="s">
        <v>99</v>
      </c>
      <c r="B17" s="131" t="s">
        <v>100</v>
      </c>
      <c r="C17" s="152">
        <v>1741459</v>
      </c>
      <c r="D17" s="64"/>
      <c r="E17" s="65"/>
      <c r="F17" s="65"/>
      <c r="G17" s="64"/>
      <c r="H17" s="64"/>
      <c r="I17" s="64"/>
      <c r="J17" s="64"/>
      <c r="K17" s="64"/>
      <c r="L17" s="64"/>
      <c r="M17" s="64"/>
      <c r="N17" s="65"/>
      <c r="O17" s="66"/>
      <c r="P17" s="135">
        <f t="shared" si="1"/>
        <v>1741459</v>
      </c>
      <c r="Q17" s="265"/>
      <c r="R17" s="24"/>
      <c r="S17" s="32"/>
      <c r="T17" s="25"/>
    </row>
    <row r="18" spans="1:20" ht="29.25">
      <c r="A18" s="140" t="s">
        <v>101</v>
      </c>
      <c r="B18" s="153" t="s">
        <v>102</v>
      </c>
      <c r="C18" s="85">
        <f aca="true" t="shared" si="5" ref="C18:O18">SUM(C19:C19)</f>
        <v>73992</v>
      </c>
      <c r="D18" s="85">
        <f t="shared" si="5"/>
        <v>0</v>
      </c>
      <c r="E18" s="85"/>
      <c r="F18" s="85">
        <f t="shared" si="5"/>
        <v>0</v>
      </c>
      <c r="G18" s="85">
        <f t="shared" si="5"/>
        <v>0</v>
      </c>
      <c r="H18" s="85">
        <f t="shared" si="5"/>
        <v>0</v>
      </c>
      <c r="I18" s="85">
        <f t="shared" si="5"/>
        <v>0</v>
      </c>
      <c r="J18" s="85">
        <f t="shared" si="5"/>
        <v>0</v>
      </c>
      <c r="K18" s="85">
        <f t="shared" si="5"/>
        <v>0</v>
      </c>
      <c r="L18" s="85">
        <f t="shared" si="5"/>
        <v>0</v>
      </c>
      <c r="M18" s="85">
        <f t="shared" si="5"/>
        <v>0</v>
      </c>
      <c r="N18" s="85">
        <f t="shared" si="5"/>
        <v>0</v>
      </c>
      <c r="O18" s="85">
        <f t="shared" si="5"/>
        <v>0</v>
      </c>
      <c r="P18" s="139">
        <f t="shared" si="1"/>
        <v>73992</v>
      </c>
      <c r="Q18" s="265"/>
      <c r="R18" s="24"/>
      <c r="S18" s="32"/>
      <c r="T18" s="25"/>
    </row>
    <row r="19" spans="1:20" ht="30">
      <c r="A19" s="37" t="s">
        <v>103</v>
      </c>
      <c r="B19" s="154" t="s">
        <v>104</v>
      </c>
      <c r="C19" s="155">
        <v>73992</v>
      </c>
      <c r="D19" s="28"/>
      <c r="E19" s="29"/>
      <c r="F19" s="29"/>
      <c r="G19" s="28"/>
      <c r="H19" s="28"/>
      <c r="I19" s="28"/>
      <c r="J19" s="28"/>
      <c r="K19" s="28"/>
      <c r="L19" s="28"/>
      <c r="M19" s="28"/>
      <c r="N19" s="29"/>
      <c r="O19" s="29"/>
      <c r="P19" s="139">
        <f t="shared" si="1"/>
        <v>73992</v>
      </c>
      <c r="Q19" s="265"/>
      <c r="R19" s="24"/>
      <c r="S19" s="32"/>
      <c r="T19" s="25"/>
    </row>
    <row r="20" spans="1:20" ht="29.25">
      <c r="A20" s="177" t="s">
        <v>607</v>
      </c>
      <c r="B20" s="81" t="s">
        <v>105</v>
      </c>
      <c r="C20" s="82">
        <v>30130</v>
      </c>
      <c r="D20" s="82"/>
      <c r="E20" s="85"/>
      <c r="F20" s="85"/>
      <c r="G20" s="82">
        <v>4500</v>
      </c>
      <c r="H20" s="82"/>
      <c r="I20" s="82">
        <v>407</v>
      </c>
      <c r="J20" s="82">
        <v>4642</v>
      </c>
      <c r="K20" s="82"/>
      <c r="L20" s="82"/>
      <c r="M20" s="82"/>
      <c r="N20" s="85">
        <v>372</v>
      </c>
      <c r="O20" s="85"/>
      <c r="P20" s="139">
        <f t="shared" si="1"/>
        <v>40051</v>
      </c>
      <c r="Q20" s="265"/>
      <c r="R20" s="24"/>
      <c r="S20" s="32"/>
      <c r="T20" s="25"/>
    </row>
    <row r="21" spans="1:20" ht="15.75" thickBot="1">
      <c r="A21" s="156" t="s">
        <v>106</v>
      </c>
      <c r="B21" s="157" t="s">
        <v>107</v>
      </c>
      <c r="C21" s="158">
        <v>43560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24"/>
      <c r="P21" s="150">
        <f t="shared" si="1"/>
        <v>43560</v>
      </c>
      <c r="Q21" s="265"/>
      <c r="R21" s="24"/>
      <c r="S21" s="32"/>
      <c r="T21" s="25"/>
    </row>
    <row r="22" spans="1:20" ht="15.75" thickBot="1">
      <c r="A22" s="71" t="s">
        <v>108</v>
      </c>
      <c r="B22" s="22" t="s">
        <v>109</v>
      </c>
      <c r="C22" s="159">
        <f aca="true" t="shared" si="6" ref="C22:P22">SUM(C23,C29:C31,C51,C53,C54,C55)</f>
        <v>5441064</v>
      </c>
      <c r="D22" s="159">
        <f t="shared" si="6"/>
        <v>154944</v>
      </c>
      <c r="E22" s="159">
        <f t="shared" si="6"/>
        <v>0</v>
      </c>
      <c r="F22" s="159">
        <f t="shared" si="6"/>
        <v>0</v>
      </c>
      <c r="G22" s="159">
        <f t="shared" si="6"/>
        <v>239415</v>
      </c>
      <c r="H22" s="159">
        <f t="shared" si="6"/>
        <v>76799</v>
      </c>
      <c r="I22" s="159">
        <f t="shared" si="6"/>
        <v>64096</v>
      </c>
      <c r="J22" s="159">
        <f t="shared" si="6"/>
        <v>185198</v>
      </c>
      <c r="K22" s="159">
        <f t="shared" si="6"/>
        <v>45161</v>
      </c>
      <c r="L22" s="159">
        <f t="shared" si="6"/>
        <v>44489</v>
      </c>
      <c r="M22" s="159">
        <f t="shared" si="6"/>
        <v>34214</v>
      </c>
      <c r="N22" s="159">
        <f t="shared" si="6"/>
        <v>52271</v>
      </c>
      <c r="O22" s="159">
        <f t="shared" si="6"/>
        <v>540043</v>
      </c>
      <c r="P22" s="160">
        <f t="shared" si="6"/>
        <v>6877694</v>
      </c>
      <c r="Q22" s="265"/>
      <c r="R22" s="24"/>
      <c r="S22" s="32"/>
      <c r="T22" s="25"/>
    </row>
    <row r="23" spans="1:20" ht="15">
      <c r="A23" s="130" t="s">
        <v>110</v>
      </c>
      <c r="B23" s="79" t="s">
        <v>111</v>
      </c>
      <c r="C23" s="132">
        <f aca="true" t="shared" si="7" ref="C23:O23">SUM(C24:C28)</f>
        <v>386853</v>
      </c>
      <c r="D23" s="132">
        <f t="shared" si="7"/>
        <v>0</v>
      </c>
      <c r="E23" s="132">
        <f t="shared" si="7"/>
        <v>0</v>
      </c>
      <c r="F23" s="132">
        <f t="shared" si="7"/>
        <v>0</v>
      </c>
      <c r="G23" s="79">
        <f t="shared" si="7"/>
        <v>0</v>
      </c>
      <c r="H23" s="132">
        <f t="shared" si="7"/>
        <v>0</v>
      </c>
      <c r="I23" s="132">
        <f t="shared" si="7"/>
        <v>0</v>
      </c>
      <c r="J23" s="132">
        <f t="shared" si="7"/>
        <v>0</v>
      </c>
      <c r="K23" s="132">
        <f t="shared" si="7"/>
        <v>0</v>
      </c>
      <c r="L23" s="132">
        <f t="shared" si="7"/>
        <v>0</v>
      </c>
      <c r="M23" s="132">
        <f t="shared" si="7"/>
        <v>0</v>
      </c>
      <c r="N23" s="132">
        <f t="shared" si="7"/>
        <v>0</v>
      </c>
      <c r="O23" s="132">
        <f t="shared" si="7"/>
        <v>0</v>
      </c>
      <c r="P23" s="135">
        <f aca="true" t="shared" si="8" ref="P23:P30">SUM(C23:O23)</f>
        <v>386853</v>
      </c>
      <c r="Q23" s="265"/>
      <c r="R23" s="24"/>
      <c r="S23" s="32"/>
      <c r="T23" s="25"/>
    </row>
    <row r="24" spans="1:20" ht="27.75" customHeight="1">
      <c r="A24" s="161" t="s">
        <v>112</v>
      </c>
      <c r="B24" s="64" t="s">
        <v>113</v>
      </c>
      <c r="C24" s="152">
        <v>28000</v>
      </c>
      <c r="D24" s="64"/>
      <c r="E24" s="65"/>
      <c r="F24" s="65"/>
      <c r="G24" s="64"/>
      <c r="H24" s="64"/>
      <c r="I24" s="64"/>
      <c r="J24" s="64"/>
      <c r="K24" s="64"/>
      <c r="L24" s="64"/>
      <c r="M24" s="64"/>
      <c r="N24" s="65"/>
      <c r="O24" s="29"/>
      <c r="P24" s="139">
        <f t="shared" si="8"/>
        <v>28000</v>
      </c>
      <c r="Q24" s="265"/>
      <c r="R24" s="24"/>
      <c r="S24" s="32"/>
      <c r="T24" s="25"/>
    </row>
    <row r="25" spans="1:20" ht="30">
      <c r="A25" s="161" t="s">
        <v>114</v>
      </c>
      <c r="B25" s="162" t="s">
        <v>115</v>
      </c>
      <c r="C25" s="65">
        <v>70000</v>
      </c>
      <c r="D25" s="64"/>
      <c r="E25" s="65"/>
      <c r="F25" s="65"/>
      <c r="G25" s="64"/>
      <c r="H25" s="64"/>
      <c r="I25" s="64"/>
      <c r="J25" s="64"/>
      <c r="K25" s="64"/>
      <c r="L25" s="64"/>
      <c r="M25" s="64"/>
      <c r="N25" s="65"/>
      <c r="O25" s="29"/>
      <c r="P25" s="139">
        <f t="shared" si="8"/>
        <v>70000</v>
      </c>
      <c r="Q25" s="265"/>
      <c r="R25" s="24"/>
      <c r="S25" s="32"/>
      <c r="T25" s="25"/>
    </row>
    <row r="26" spans="1:20" ht="15">
      <c r="A26" s="161" t="s">
        <v>116</v>
      </c>
      <c r="B26" s="163" t="s">
        <v>117</v>
      </c>
      <c r="C26" s="152">
        <v>5000</v>
      </c>
      <c r="D26" s="64"/>
      <c r="E26" s="65"/>
      <c r="F26" s="65"/>
      <c r="G26" s="64"/>
      <c r="H26" s="64"/>
      <c r="I26" s="64"/>
      <c r="J26" s="64"/>
      <c r="K26" s="64"/>
      <c r="L26" s="64"/>
      <c r="M26" s="64"/>
      <c r="N26" s="65"/>
      <c r="O26" s="29"/>
      <c r="P26" s="139">
        <f t="shared" si="8"/>
        <v>5000</v>
      </c>
      <c r="Q26" s="265"/>
      <c r="R26" s="24"/>
      <c r="S26" s="25"/>
      <c r="T26" s="25"/>
    </row>
    <row r="27" spans="1:20" ht="15">
      <c r="A27" s="161" t="s">
        <v>118</v>
      </c>
      <c r="B27" s="164" t="s">
        <v>119</v>
      </c>
      <c r="C27" s="152">
        <v>133853</v>
      </c>
      <c r="D27" s="64"/>
      <c r="E27" s="65"/>
      <c r="F27" s="65"/>
      <c r="G27" s="64"/>
      <c r="H27" s="64"/>
      <c r="I27" s="64"/>
      <c r="J27" s="64"/>
      <c r="K27" s="64"/>
      <c r="L27" s="64"/>
      <c r="M27" s="64"/>
      <c r="N27" s="65"/>
      <c r="O27" s="29"/>
      <c r="P27" s="139">
        <f t="shared" si="8"/>
        <v>133853</v>
      </c>
      <c r="Q27" s="265"/>
      <c r="R27" s="24"/>
      <c r="S27" s="32"/>
      <c r="T27" s="25"/>
    </row>
    <row r="28" spans="1:20" ht="15">
      <c r="A28" s="165" t="s">
        <v>120</v>
      </c>
      <c r="B28" s="166" t="s">
        <v>121</v>
      </c>
      <c r="C28" s="65">
        <v>150000</v>
      </c>
      <c r="D28" s="64"/>
      <c r="E28" s="65"/>
      <c r="F28" s="65"/>
      <c r="G28" s="64"/>
      <c r="H28" s="64"/>
      <c r="I28" s="64"/>
      <c r="J28" s="64"/>
      <c r="K28" s="64"/>
      <c r="L28" s="64"/>
      <c r="M28" s="64"/>
      <c r="N28" s="65"/>
      <c r="O28" s="29"/>
      <c r="P28" s="139">
        <f t="shared" si="8"/>
        <v>150000</v>
      </c>
      <c r="Q28" s="265"/>
      <c r="R28" s="24"/>
      <c r="S28" s="25"/>
      <c r="T28" s="25"/>
    </row>
    <row r="29" spans="1:20" ht="33" customHeight="1">
      <c r="A29" s="130" t="s">
        <v>122</v>
      </c>
      <c r="B29" s="131" t="s">
        <v>123</v>
      </c>
      <c r="C29" s="137"/>
      <c r="D29" s="28"/>
      <c r="E29" s="29"/>
      <c r="F29" s="29"/>
      <c r="G29" s="28"/>
      <c r="H29" s="28"/>
      <c r="I29" s="28"/>
      <c r="J29" s="28"/>
      <c r="K29" s="28">
        <v>300</v>
      </c>
      <c r="L29" s="28"/>
      <c r="M29" s="28"/>
      <c r="N29" s="29"/>
      <c r="O29" s="29"/>
      <c r="P29" s="139">
        <f t="shared" si="8"/>
        <v>300</v>
      </c>
      <c r="Q29" s="265"/>
      <c r="R29" s="24"/>
      <c r="S29" s="32"/>
      <c r="T29" s="25"/>
    </row>
    <row r="30" spans="1:20" ht="15">
      <c r="A30" s="130" t="s">
        <v>124</v>
      </c>
      <c r="B30" s="131" t="s">
        <v>125</v>
      </c>
      <c r="C30" s="132">
        <v>718775</v>
      </c>
      <c r="D30" s="2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139">
        <f t="shared" si="8"/>
        <v>718775</v>
      </c>
      <c r="Q30" s="265"/>
      <c r="R30" s="24"/>
      <c r="S30" s="25"/>
      <c r="T30" s="25"/>
    </row>
    <row r="31" spans="1:20" ht="15">
      <c r="A31" s="140" t="s">
        <v>126</v>
      </c>
      <c r="B31" s="81" t="s">
        <v>127</v>
      </c>
      <c r="C31" s="85">
        <f aca="true" t="shared" si="9" ref="C31:P31">SUM(C32:C50)</f>
        <v>4059047</v>
      </c>
      <c r="D31" s="85">
        <f t="shared" si="9"/>
        <v>154944</v>
      </c>
      <c r="E31" s="85">
        <f t="shared" si="9"/>
        <v>0</v>
      </c>
      <c r="F31" s="85">
        <f t="shared" si="9"/>
        <v>0</v>
      </c>
      <c r="G31" s="85">
        <f t="shared" si="9"/>
        <v>239415</v>
      </c>
      <c r="H31" s="85">
        <f t="shared" si="9"/>
        <v>76799</v>
      </c>
      <c r="I31" s="85">
        <f t="shared" si="9"/>
        <v>64096</v>
      </c>
      <c r="J31" s="85">
        <f t="shared" si="9"/>
        <v>185198</v>
      </c>
      <c r="K31" s="85">
        <f t="shared" si="9"/>
        <v>44861</v>
      </c>
      <c r="L31" s="85">
        <f t="shared" si="9"/>
        <v>44489</v>
      </c>
      <c r="M31" s="85">
        <f t="shared" si="9"/>
        <v>34214</v>
      </c>
      <c r="N31" s="85">
        <f t="shared" si="9"/>
        <v>52271</v>
      </c>
      <c r="O31" s="85">
        <f t="shared" si="9"/>
        <v>0</v>
      </c>
      <c r="P31" s="167">
        <f t="shared" si="9"/>
        <v>4955334</v>
      </c>
      <c r="Q31" s="265"/>
      <c r="R31" s="24"/>
      <c r="S31" s="25"/>
      <c r="T31" s="25"/>
    </row>
    <row r="32" spans="1:20" ht="15">
      <c r="A32" s="168" t="s">
        <v>128</v>
      </c>
      <c r="B32" s="34" t="s">
        <v>129</v>
      </c>
      <c r="C32" s="155">
        <f>629266+500000+18310</f>
        <v>1147576</v>
      </c>
      <c r="D32" s="28"/>
      <c r="E32" s="29"/>
      <c r="F32" s="29"/>
      <c r="G32" s="28">
        <v>239415</v>
      </c>
      <c r="H32" s="28">
        <v>49485</v>
      </c>
      <c r="I32" s="28">
        <f>50837+251</f>
        <v>51088</v>
      </c>
      <c r="J32" s="28">
        <v>91983</v>
      </c>
      <c r="K32" s="28">
        <v>44861</v>
      </c>
      <c r="L32" s="28">
        <v>44489</v>
      </c>
      <c r="M32" s="89">
        <v>34214</v>
      </c>
      <c r="N32" s="29">
        <v>48569</v>
      </c>
      <c r="O32" s="29"/>
      <c r="P32" s="139">
        <f>SUM(C32:O32)</f>
        <v>1751680</v>
      </c>
      <c r="Q32" s="265"/>
      <c r="R32" s="24"/>
      <c r="S32" s="25"/>
      <c r="T32" s="25"/>
    </row>
    <row r="33" spans="1:20" ht="15">
      <c r="A33" s="168" t="s">
        <v>130</v>
      </c>
      <c r="B33" s="169" t="s">
        <v>628</v>
      </c>
      <c r="C33" s="173">
        <f>96093+19550</f>
        <v>115643</v>
      </c>
      <c r="D33" s="28"/>
      <c r="E33" s="266"/>
      <c r="F33" s="29"/>
      <c r="G33" s="28"/>
      <c r="H33" s="28"/>
      <c r="I33" s="28"/>
      <c r="J33" s="28"/>
      <c r="K33" s="28"/>
      <c r="L33" s="28"/>
      <c r="M33" s="89"/>
      <c r="N33" s="42"/>
      <c r="O33" s="29"/>
      <c r="P33" s="139">
        <f aca="true" t="shared" si="10" ref="P33:P81">SUM(C33:O33)</f>
        <v>115643</v>
      </c>
      <c r="Q33" s="265"/>
      <c r="R33" s="24"/>
      <c r="S33" s="32"/>
      <c r="T33" s="25"/>
    </row>
    <row r="34" spans="1:20" ht="30">
      <c r="A34" s="168" t="s">
        <v>131</v>
      </c>
      <c r="B34" s="169" t="s">
        <v>132</v>
      </c>
      <c r="C34" s="173">
        <f>105054</f>
        <v>105054</v>
      </c>
      <c r="D34" s="28"/>
      <c r="E34" s="266"/>
      <c r="F34" s="29"/>
      <c r="G34" s="28"/>
      <c r="H34" s="28"/>
      <c r="I34" s="28"/>
      <c r="J34" s="28"/>
      <c r="K34" s="28"/>
      <c r="L34" s="28"/>
      <c r="M34" s="89"/>
      <c r="N34" s="42"/>
      <c r="O34" s="29"/>
      <c r="P34" s="139">
        <f t="shared" si="10"/>
        <v>105054</v>
      </c>
      <c r="Q34" s="265"/>
      <c r="R34" s="24"/>
      <c r="S34" s="32"/>
      <c r="T34" s="25"/>
    </row>
    <row r="35" spans="1:20" ht="15">
      <c r="A35" s="168" t="s">
        <v>133</v>
      </c>
      <c r="B35" s="170" t="s">
        <v>134</v>
      </c>
      <c r="C35" s="173">
        <f>204391+55115</f>
        <v>259506</v>
      </c>
      <c r="D35" s="28"/>
      <c r="E35" s="267"/>
      <c r="F35" s="29"/>
      <c r="G35" s="28"/>
      <c r="H35" s="28"/>
      <c r="I35" s="28"/>
      <c r="J35" s="28"/>
      <c r="K35" s="28"/>
      <c r="L35" s="28"/>
      <c r="M35" s="89"/>
      <c r="N35" s="42"/>
      <c r="O35" s="29"/>
      <c r="P35" s="139">
        <f t="shared" si="10"/>
        <v>259506</v>
      </c>
      <c r="Q35" s="265"/>
      <c r="R35" s="24"/>
      <c r="S35" s="32"/>
      <c r="T35" s="25"/>
    </row>
    <row r="36" spans="1:20" ht="30">
      <c r="A36" s="168" t="s">
        <v>135</v>
      </c>
      <c r="B36" s="169" t="s">
        <v>136</v>
      </c>
      <c r="C36" s="173">
        <f>60788+29955</f>
        <v>90743</v>
      </c>
      <c r="D36" s="28"/>
      <c r="E36" s="266"/>
      <c r="F36" s="29"/>
      <c r="G36" s="28"/>
      <c r="H36" s="28"/>
      <c r="I36" s="28"/>
      <c r="J36" s="28"/>
      <c r="K36" s="28"/>
      <c r="L36" s="28"/>
      <c r="M36" s="89"/>
      <c r="N36" s="42"/>
      <c r="O36" s="29"/>
      <c r="P36" s="139">
        <f t="shared" si="10"/>
        <v>90743</v>
      </c>
      <c r="Q36" s="265"/>
      <c r="R36" s="24"/>
      <c r="S36" s="32"/>
      <c r="T36" s="25"/>
    </row>
    <row r="37" spans="1:20" ht="30">
      <c r="A37" s="168" t="s">
        <v>137</v>
      </c>
      <c r="B37" s="169" t="s">
        <v>138</v>
      </c>
      <c r="C37" s="173">
        <f>83078+13600</f>
        <v>96678</v>
      </c>
      <c r="D37" s="28"/>
      <c r="E37" s="266"/>
      <c r="F37" s="29"/>
      <c r="G37" s="28"/>
      <c r="H37" s="28"/>
      <c r="I37" s="28"/>
      <c r="J37" s="28"/>
      <c r="K37" s="28"/>
      <c r="L37" s="28"/>
      <c r="M37" s="89"/>
      <c r="N37" s="42"/>
      <c r="O37" s="29"/>
      <c r="P37" s="139">
        <f t="shared" si="10"/>
        <v>96678</v>
      </c>
      <c r="Q37" s="265"/>
      <c r="R37" s="24"/>
      <c r="S37" s="32"/>
      <c r="T37" s="25"/>
    </row>
    <row r="38" spans="1:20" ht="15">
      <c r="A38" s="168" t="s">
        <v>139</v>
      </c>
      <c r="B38" s="170" t="s">
        <v>637</v>
      </c>
      <c r="C38" s="173">
        <f>313866</f>
        <v>313866</v>
      </c>
      <c r="D38" s="28"/>
      <c r="E38" s="267"/>
      <c r="F38" s="29"/>
      <c r="G38" s="28"/>
      <c r="H38" s="28"/>
      <c r="I38" s="28"/>
      <c r="J38" s="28"/>
      <c r="K38" s="28"/>
      <c r="L38" s="28"/>
      <c r="M38" s="89"/>
      <c r="N38" s="42"/>
      <c r="O38" s="29"/>
      <c r="P38" s="139">
        <f t="shared" si="10"/>
        <v>313866</v>
      </c>
      <c r="Q38" s="265"/>
      <c r="R38" s="24"/>
      <c r="S38" s="32"/>
      <c r="T38" s="25"/>
    </row>
    <row r="39" spans="1:20" ht="30">
      <c r="A39" s="168" t="s">
        <v>618</v>
      </c>
      <c r="B39" s="169" t="s">
        <v>619</v>
      </c>
      <c r="C39" s="155">
        <f>51028</f>
        <v>51028</v>
      </c>
      <c r="D39" s="28"/>
      <c r="E39" s="269"/>
      <c r="F39" s="29"/>
      <c r="G39" s="28"/>
      <c r="H39" s="28"/>
      <c r="I39" s="28"/>
      <c r="J39" s="28"/>
      <c r="K39" s="28"/>
      <c r="L39" s="28"/>
      <c r="M39" s="89"/>
      <c r="N39" s="42"/>
      <c r="O39" s="29"/>
      <c r="P39" s="139">
        <f t="shared" si="10"/>
        <v>51028</v>
      </c>
      <c r="Q39" s="265"/>
      <c r="R39" s="24"/>
      <c r="S39" s="32"/>
      <c r="T39" s="25"/>
    </row>
    <row r="40" spans="1:20" ht="30">
      <c r="A40" s="168" t="s">
        <v>626</v>
      </c>
      <c r="B40" s="169" t="s">
        <v>627</v>
      </c>
      <c r="C40" s="155">
        <f>82316</f>
        <v>82316</v>
      </c>
      <c r="D40" s="28"/>
      <c r="E40" s="269"/>
      <c r="F40" s="29"/>
      <c r="G40" s="28"/>
      <c r="H40" s="28"/>
      <c r="I40" s="28"/>
      <c r="J40" s="28"/>
      <c r="K40" s="28"/>
      <c r="L40" s="28"/>
      <c r="M40" s="89"/>
      <c r="N40" s="42"/>
      <c r="O40" s="29"/>
      <c r="P40" s="139">
        <f t="shared" si="10"/>
        <v>82316</v>
      </c>
      <c r="Q40" s="265"/>
      <c r="R40" s="24"/>
      <c r="S40" s="25"/>
      <c r="T40" s="25"/>
    </row>
    <row r="41" spans="1:20" ht="15">
      <c r="A41" s="37" t="s">
        <v>140</v>
      </c>
      <c r="B41" s="171" t="s">
        <v>141</v>
      </c>
      <c r="C41" s="172"/>
      <c r="D41" s="28">
        <v>154944</v>
      </c>
      <c r="E41" s="29"/>
      <c r="F41" s="29"/>
      <c r="G41" s="173"/>
      <c r="H41" s="173">
        <v>27314</v>
      </c>
      <c r="I41" s="173">
        <v>13008</v>
      </c>
      <c r="J41" s="173">
        <v>93215</v>
      </c>
      <c r="K41" s="28"/>
      <c r="L41" s="28"/>
      <c r="M41" s="28"/>
      <c r="N41" s="42">
        <v>3702</v>
      </c>
      <c r="O41" s="29"/>
      <c r="P41" s="139">
        <f t="shared" si="10"/>
        <v>292183</v>
      </c>
      <c r="Q41" s="265"/>
      <c r="R41" s="24"/>
      <c r="S41" s="25"/>
      <c r="T41" s="25"/>
    </row>
    <row r="42" spans="1:20" ht="15">
      <c r="A42" s="174" t="s">
        <v>142</v>
      </c>
      <c r="B42" s="175" t="s">
        <v>632</v>
      </c>
      <c r="C42" s="29">
        <v>33000</v>
      </c>
      <c r="D42" s="28"/>
      <c r="E42" s="29"/>
      <c r="F42" s="29"/>
      <c r="G42" s="28"/>
      <c r="H42" s="28"/>
      <c r="I42" s="28"/>
      <c r="J42" s="29"/>
      <c r="K42" s="29"/>
      <c r="L42" s="29"/>
      <c r="M42" s="29"/>
      <c r="N42" s="29"/>
      <c r="O42" s="29"/>
      <c r="P42" s="139">
        <f t="shared" si="10"/>
        <v>33000</v>
      </c>
      <c r="Q42" s="265"/>
      <c r="R42" s="24"/>
      <c r="S42" s="32"/>
      <c r="T42" s="25"/>
    </row>
    <row r="43" spans="1:18" ht="45">
      <c r="A43" s="174" t="s">
        <v>143</v>
      </c>
      <c r="B43" s="175" t="s">
        <v>633</v>
      </c>
      <c r="C43" s="28">
        <v>671304</v>
      </c>
      <c r="D43" s="28"/>
      <c r="E43" s="29"/>
      <c r="F43" s="29"/>
      <c r="G43" s="28"/>
      <c r="H43" s="28"/>
      <c r="I43" s="28"/>
      <c r="J43" s="29"/>
      <c r="K43" s="29"/>
      <c r="L43" s="29"/>
      <c r="M43" s="29"/>
      <c r="N43" s="29"/>
      <c r="O43" s="29"/>
      <c r="P43" s="139">
        <f t="shared" si="10"/>
        <v>671304</v>
      </c>
      <c r="Q43" s="24"/>
      <c r="R43" s="24"/>
    </row>
    <row r="44" spans="1:18" ht="45">
      <c r="A44" s="174" t="s">
        <v>144</v>
      </c>
      <c r="B44" s="175" t="s">
        <v>145</v>
      </c>
      <c r="C44" s="29">
        <v>21453</v>
      </c>
      <c r="D44" s="28"/>
      <c r="E44" s="29"/>
      <c r="F44" s="29"/>
      <c r="G44" s="28"/>
      <c r="H44" s="28"/>
      <c r="I44" s="28"/>
      <c r="J44" s="29"/>
      <c r="K44" s="29"/>
      <c r="L44" s="29"/>
      <c r="M44" s="29"/>
      <c r="N44" s="29"/>
      <c r="O44" s="29"/>
      <c r="P44" s="139">
        <f t="shared" si="10"/>
        <v>21453</v>
      </c>
      <c r="Q44" s="24"/>
      <c r="R44" s="24"/>
    </row>
    <row r="45" spans="1:18" ht="45">
      <c r="A45" s="174" t="s">
        <v>146</v>
      </c>
      <c r="B45" s="175" t="s">
        <v>147</v>
      </c>
      <c r="C45" s="29">
        <v>587</v>
      </c>
      <c r="D45" s="28"/>
      <c r="E45" s="29"/>
      <c r="F45" s="29"/>
      <c r="G45" s="28"/>
      <c r="H45" s="28"/>
      <c r="I45" s="28"/>
      <c r="J45" s="29"/>
      <c r="K45" s="29"/>
      <c r="L45" s="29"/>
      <c r="M45" s="29"/>
      <c r="N45" s="29"/>
      <c r="O45" s="29"/>
      <c r="P45" s="139">
        <f t="shared" si="10"/>
        <v>587</v>
      </c>
      <c r="Q45" s="117"/>
      <c r="R45" s="117"/>
    </row>
    <row r="46" spans="1:18" ht="15">
      <c r="A46" s="174" t="s">
        <v>148</v>
      </c>
      <c r="B46" s="175" t="s">
        <v>634</v>
      </c>
      <c r="C46" s="29">
        <v>80435</v>
      </c>
      <c r="D46" s="28"/>
      <c r="E46" s="29"/>
      <c r="F46" s="29"/>
      <c r="G46" s="28"/>
      <c r="H46" s="28"/>
      <c r="I46" s="28"/>
      <c r="J46" s="29"/>
      <c r="K46" s="29"/>
      <c r="L46" s="29"/>
      <c r="M46" s="29"/>
      <c r="N46" s="29"/>
      <c r="O46" s="29"/>
      <c r="P46" s="139">
        <f t="shared" si="10"/>
        <v>80435</v>
      </c>
      <c r="Q46" s="117"/>
      <c r="R46" s="117"/>
    </row>
    <row r="47" spans="1:18" ht="30">
      <c r="A47" s="174" t="s">
        <v>149</v>
      </c>
      <c r="B47" s="175" t="s">
        <v>635</v>
      </c>
      <c r="C47" s="29">
        <v>890008</v>
      </c>
      <c r="D47" s="28"/>
      <c r="E47" s="29"/>
      <c r="F47" s="29"/>
      <c r="G47" s="28"/>
      <c r="H47" s="28"/>
      <c r="I47" s="28"/>
      <c r="J47" s="29"/>
      <c r="K47" s="29"/>
      <c r="L47" s="29"/>
      <c r="M47" s="29"/>
      <c r="N47" s="29"/>
      <c r="O47" s="29"/>
      <c r="P47" s="139">
        <f t="shared" si="10"/>
        <v>890008</v>
      </c>
      <c r="Q47" s="117"/>
      <c r="R47" s="117"/>
    </row>
    <row r="48" spans="1:18" ht="30">
      <c r="A48" s="174" t="s">
        <v>150</v>
      </c>
      <c r="B48" s="175" t="s">
        <v>151</v>
      </c>
      <c r="C48" s="29">
        <v>43282</v>
      </c>
      <c r="D48" s="28"/>
      <c r="E48" s="29"/>
      <c r="F48" s="29"/>
      <c r="G48" s="28"/>
      <c r="H48" s="28"/>
      <c r="I48" s="28"/>
      <c r="J48" s="29"/>
      <c r="K48" s="29"/>
      <c r="L48" s="29"/>
      <c r="M48" s="29"/>
      <c r="N48" s="29"/>
      <c r="O48" s="29"/>
      <c r="P48" s="139">
        <f t="shared" si="10"/>
        <v>43282</v>
      </c>
      <c r="Q48" s="117"/>
      <c r="R48" s="117"/>
    </row>
    <row r="49" spans="1:18" ht="45">
      <c r="A49" s="174" t="s">
        <v>152</v>
      </c>
      <c r="B49" s="175" t="s">
        <v>153</v>
      </c>
      <c r="C49" s="29">
        <v>31279</v>
      </c>
      <c r="D49" s="28"/>
      <c r="E49" s="29"/>
      <c r="F49" s="29"/>
      <c r="G49" s="28"/>
      <c r="H49" s="28"/>
      <c r="I49" s="28"/>
      <c r="J49" s="29"/>
      <c r="K49" s="29"/>
      <c r="L49" s="29"/>
      <c r="M49" s="29"/>
      <c r="N49" s="29"/>
      <c r="O49" s="29"/>
      <c r="P49" s="139">
        <f t="shared" si="10"/>
        <v>31279</v>
      </c>
      <c r="Q49" s="117"/>
      <c r="R49" s="117"/>
    </row>
    <row r="50" spans="1:18" ht="15">
      <c r="A50" s="174" t="s">
        <v>154</v>
      </c>
      <c r="B50" s="175" t="s">
        <v>155</v>
      </c>
      <c r="C50" s="28">
        <v>25289</v>
      </c>
      <c r="D50" s="28"/>
      <c r="E50" s="29"/>
      <c r="F50" s="29"/>
      <c r="G50" s="28"/>
      <c r="H50" s="28"/>
      <c r="I50" s="28"/>
      <c r="J50" s="29"/>
      <c r="K50" s="29"/>
      <c r="L50" s="29"/>
      <c r="M50" s="29"/>
      <c r="N50" s="29"/>
      <c r="O50" s="29"/>
      <c r="P50" s="139">
        <f t="shared" si="10"/>
        <v>25289</v>
      </c>
      <c r="Q50" s="117"/>
      <c r="R50" s="117"/>
    </row>
    <row r="51" spans="1:20" ht="15">
      <c r="A51" s="140" t="s">
        <v>156</v>
      </c>
      <c r="B51" s="176" t="s">
        <v>157</v>
      </c>
      <c r="C51" s="85">
        <f>SUM(C52:C52)</f>
        <v>0</v>
      </c>
      <c r="D51" s="85">
        <f>SUM(D52:D52)</f>
        <v>0</v>
      </c>
      <c r="E51" s="85">
        <f>SUM(E52:E52)</f>
        <v>0</v>
      </c>
      <c r="F51" s="85">
        <f>SUM(F52:F52)</f>
        <v>0</v>
      </c>
      <c r="G51" s="82">
        <f aca="true" t="shared" si="11" ref="G51:N51">SUM(G52:G52)</f>
        <v>0</v>
      </c>
      <c r="H51" s="82">
        <f t="shared" si="11"/>
        <v>0</v>
      </c>
      <c r="I51" s="82">
        <f>SUM(I52:I52)</f>
        <v>0</v>
      </c>
      <c r="J51" s="85">
        <f t="shared" si="11"/>
        <v>0</v>
      </c>
      <c r="K51" s="85">
        <f t="shared" si="11"/>
        <v>0</v>
      </c>
      <c r="L51" s="85">
        <f t="shared" si="11"/>
        <v>0</v>
      </c>
      <c r="M51" s="85">
        <f t="shared" si="11"/>
        <v>0</v>
      </c>
      <c r="N51" s="85">
        <f t="shared" si="11"/>
        <v>0</v>
      </c>
      <c r="O51" s="85">
        <f>SUM(O52:O52)</f>
        <v>0</v>
      </c>
      <c r="P51" s="139">
        <f t="shared" si="10"/>
        <v>0</v>
      </c>
      <c r="Q51" s="265"/>
      <c r="R51" s="24"/>
      <c r="S51" s="25"/>
      <c r="T51" s="25"/>
    </row>
    <row r="52" spans="1:20" ht="15">
      <c r="A52" s="37" t="s">
        <v>158</v>
      </c>
      <c r="B52" s="34" t="s">
        <v>159</v>
      </c>
      <c r="C52" s="29"/>
      <c r="D52" s="28"/>
      <c r="E52" s="29"/>
      <c r="F52" s="29"/>
      <c r="G52" s="28"/>
      <c r="H52" s="28"/>
      <c r="I52" s="28"/>
      <c r="J52" s="28"/>
      <c r="K52" s="28"/>
      <c r="L52" s="28"/>
      <c r="M52" s="28"/>
      <c r="N52" s="29"/>
      <c r="O52" s="29"/>
      <c r="P52" s="139">
        <f t="shared" si="10"/>
        <v>0</v>
      </c>
      <c r="Q52" s="265"/>
      <c r="R52" s="24"/>
      <c r="S52" s="32"/>
      <c r="T52" s="25"/>
    </row>
    <row r="53" spans="1:20" ht="15">
      <c r="A53" s="177" t="s">
        <v>160</v>
      </c>
      <c r="B53" s="178" t="s">
        <v>615</v>
      </c>
      <c r="C53" s="29">
        <v>239102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39">
        <f t="shared" si="10"/>
        <v>239102</v>
      </c>
      <c r="Q53" s="265"/>
      <c r="R53" s="24"/>
      <c r="S53" s="32"/>
      <c r="T53" s="25"/>
    </row>
    <row r="54" spans="1:20" ht="30">
      <c r="A54" s="179" t="s">
        <v>161</v>
      </c>
      <c r="B54" s="180" t="s">
        <v>162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53">
        <v>540043</v>
      </c>
      <c r="P54" s="139">
        <f t="shared" si="10"/>
        <v>540043</v>
      </c>
      <c r="Q54" s="265"/>
      <c r="R54" s="24"/>
      <c r="S54" s="32"/>
      <c r="T54" s="25"/>
    </row>
    <row r="55" spans="1:20" ht="15.75" thickBot="1">
      <c r="A55" s="179" t="s">
        <v>163</v>
      </c>
      <c r="B55" s="181" t="s">
        <v>164</v>
      </c>
      <c r="C55" s="28">
        <v>37287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53"/>
      <c r="P55" s="139">
        <f t="shared" si="10"/>
        <v>37287</v>
      </c>
      <c r="Q55" s="265"/>
      <c r="R55" s="24"/>
      <c r="S55" s="32"/>
      <c r="T55" s="25"/>
    </row>
    <row r="56" spans="1:20" ht="15.75" thickBot="1">
      <c r="A56" s="71" t="s">
        <v>165</v>
      </c>
      <c r="B56" s="182" t="s">
        <v>166</v>
      </c>
      <c r="C56" s="56">
        <f aca="true" t="shared" si="12" ref="C56:O56">C57+C60+C64+C66</f>
        <v>2959163</v>
      </c>
      <c r="D56" s="56">
        <f t="shared" si="12"/>
        <v>522812</v>
      </c>
      <c r="E56" s="56">
        <f t="shared" si="12"/>
        <v>0</v>
      </c>
      <c r="F56" s="56">
        <f t="shared" si="12"/>
        <v>146205</v>
      </c>
      <c r="G56" s="56">
        <f t="shared" si="12"/>
        <v>13840</v>
      </c>
      <c r="H56" s="56">
        <f t="shared" si="12"/>
        <v>58589</v>
      </c>
      <c r="I56" s="56">
        <f t="shared" si="12"/>
        <v>48821</v>
      </c>
      <c r="J56" s="56">
        <f t="shared" si="12"/>
        <v>140899</v>
      </c>
      <c r="K56" s="56">
        <f t="shared" si="12"/>
        <v>25812</v>
      </c>
      <c r="L56" s="56">
        <f t="shared" si="12"/>
        <v>22018</v>
      </c>
      <c r="M56" s="56">
        <f t="shared" si="12"/>
        <v>0</v>
      </c>
      <c r="N56" s="56">
        <f t="shared" si="12"/>
        <v>32235</v>
      </c>
      <c r="O56" s="56">
        <f t="shared" si="12"/>
        <v>0</v>
      </c>
      <c r="P56" s="57">
        <f t="shared" si="10"/>
        <v>3970394</v>
      </c>
      <c r="Q56" s="265"/>
      <c r="R56" s="24"/>
      <c r="S56" s="32"/>
      <c r="T56" s="25"/>
    </row>
    <row r="57" spans="1:20" ht="15">
      <c r="A57" s="130" t="s">
        <v>167</v>
      </c>
      <c r="B57" s="176" t="s">
        <v>168</v>
      </c>
      <c r="C57" s="132">
        <f>SUM(C58:C59)</f>
        <v>56912</v>
      </c>
      <c r="D57" s="132">
        <f aca="true" t="shared" si="13" ref="D57:O57">SUM(D58:D59)</f>
        <v>147340</v>
      </c>
      <c r="E57" s="132">
        <f t="shared" si="13"/>
        <v>0</v>
      </c>
      <c r="F57" s="132">
        <f t="shared" si="13"/>
        <v>83828</v>
      </c>
      <c r="G57" s="132">
        <f t="shared" si="13"/>
        <v>4840</v>
      </c>
      <c r="H57" s="132">
        <f t="shared" si="13"/>
        <v>35332</v>
      </c>
      <c r="I57" s="132">
        <f t="shared" si="13"/>
        <v>34171</v>
      </c>
      <c r="J57" s="132">
        <f t="shared" si="13"/>
        <v>72204</v>
      </c>
      <c r="K57" s="132">
        <f t="shared" si="13"/>
        <v>18162</v>
      </c>
      <c r="L57" s="132">
        <f t="shared" si="13"/>
        <v>13000</v>
      </c>
      <c r="M57" s="132">
        <f t="shared" si="13"/>
        <v>0</v>
      </c>
      <c r="N57" s="132">
        <f t="shared" si="13"/>
        <v>16554</v>
      </c>
      <c r="O57" s="132">
        <f t="shared" si="13"/>
        <v>0</v>
      </c>
      <c r="P57" s="31">
        <f t="shared" si="10"/>
        <v>482343</v>
      </c>
      <c r="Q57" s="265"/>
      <c r="R57" s="24"/>
      <c r="S57" s="32"/>
      <c r="T57" s="25"/>
    </row>
    <row r="58" spans="1:20" s="5" customFormat="1" ht="30">
      <c r="A58" s="37" t="s">
        <v>169</v>
      </c>
      <c r="B58" s="34" t="s">
        <v>170</v>
      </c>
      <c r="C58" s="155">
        <f>9513+28039</f>
        <v>37552</v>
      </c>
      <c r="D58" s="28">
        <v>147340</v>
      </c>
      <c r="E58" s="28"/>
      <c r="F58" s="28">
        <v>83828</v>
      </c>
      <c r="G58" s="29">
        <v>4840</v>
      </c>
      <c r="H58" s="28">
        <v>35332</v>
      </c>
      <c r="I58" s="28">
        <v>34171</v>
      </c>
      <c r="J58" s="28">
        <v>72204</v>
      </c>
      <c r="K58" s="28">
        <v>18162</v>
      </c>
      <c r="L58" s="28">
        <v>13000</v>
      </c>
      <c r="M58" s="28"/>
      <c r="N58" s="42">
        <v>16554</v>
      </c>
      <c r="O58" s="29"/>
      <c r="P58" s="139">
        <f t="shared" si="10"/>
        <v>462983</v>
      </c>
      <c r="Q58" s="265"/>
      <c r="R58" s="24"/>
      <c r="S58" s="25"/>
      <c r="T58" s="25"/>
    </row>
    <row r="59" spans="1:21" ht="15">
      <c r="A59" s="37" t="s">
        <v>171</v>
      </c>
      <c r="B59" s="154" t="s">
        <v>172</v>
      </c>
      <c r="C59" s="29">
        <v>19360</v>
      </c>
      <c r="D59" s="29"/>
      <c r="E59" s="29"/>
      <c r="F59" s="28"/>
      <c r="G59" s="35"/>
      <c r="H59" s="28"/>
      <c r="I59" s="28"/>
      <c r="J59" s="29"/>
      <c r="K59" s="28"/>
      <c r="L59" s="29"/>
      <c r="M59" s="28"/>
      <c r="N59" s="42"/>
      <c r="O59" s="29"/>
      <c r="P59" s="139">
        <f t="shared" si="10"/>
        <v>19360</v>
      </c>
      <c r="Q59" s="265"/>
      <c r="R59" s="24"/>
      <c r="S59" s="25"/>
      <c r="T59" s="25"/>
      <c r="U59" s="151"/>
    </row>
    <row r="60" spans="1:20" ht="15">
      <c r="A60" s="140" t="s">
        <v>173</v>
      </c>
      <c r="B60" s="142" t="s">
        <v>174</v>
      </c>
      <c r="C60" s="183">
        <f>SUM(C61:C63)</f>
        <v>543617</v>
      </c>
      <c r="D60" s="183">
        <f aca="true" t="shared" si="14" ref="D60:O60">SUM(D61:D63)</f>
        <v>375472</v>
      </c>
      <c r="E60" s="183">
        <f t="shared" si="14"/>
        <v>0</v>
      </c>
      <c r="F60" s="183">
        <f t="shared" si="14"/>
        <v>62377</v>
      </c>
      <c r="G60" s="183">
        <f t="shared" si="14"/>
        <v>0</v>
      </c>
      <c r="H60" s="183">
        <f t="shared" si="14"/>
        <v>23257</v>
      </c>
      <c r="I60" s="183">
        <f t="shared" si="14"/>
        <v>14650</v>
      </c>
      <c r="J60" s="183">
        <f t="shared" si="14"/>
        <v>68695</v>
      </c>
      <c r="K60" s="183">
        <f t="shared" si="14"/>
        <v>7650</v>
      </c>
      <c r="L60" s="183">
        <f t="shared" si="14"/>
        <v>9018</v>
      </c>
      <c r="M60" s="183">
        <f t="shared" si="14"/>
        <v>0</v>
      </c>
      <c r="N60" s="183">
        <f t="shared" si="14"/>
        <v>15681</v>
      </c>
      <c r="O60" s="183">
        <f t="shared" si="14"/>
        <v>0</v>
      </c>
      <c r="P60" s="139">
        <f t="shared" si="10"/>
        <v>1120417</v>
      </c>
      <c r="Q60" s="265"/>
      <c r="R60" s="24"/>
      <c r="S60" s="32"/>
      <c r="T60" s="25"/>
    </row>
    <row r="61" spans="1:20" ht="15">
      <c r="A61" s="37" t="s">
        <v>175</v>
      </c>
      <c r="B61" s="162" t="s">
        <v>176</v>
      </c>
      <c r="C61" s="184">
        <v>202287</v>
      </c>
      <c r="D61" s="28">
        <v>28109</v>
      </c>
      <c r="E61" s="28"/>
      <c r="F61" s="28"/>
      <c r="G61" s="35"/>
      <c r="H61" s="28"/>
      <c r="I61" s="28"/>
      <c r="J61" s="28"/>
      <c r="K61" s="28"/>
      <c r="L61" s="28"/>
      <c r="M61" s="28"/>
      <c r="N61" s="42"/>
      <c r="O61" s="29"/>
      <c r="P61" s="139">
        <f t="shared" si="10"/>
        <v>230396</v>
      </c>
      <c r="Q61" s="265"/>
      <c r="R61" s="24"/>
      <c r="S61" s="32"/>
      <c r="T61" s="25"/>
    </row>
    <row r="62" spans="1:20" ht="15">
      <c r="A62" s="185" t="s">
        <v>177</v>
      </c>
      <c r="B62" s="162" t="s">
        <v>178</v>
      </c>
      <c r="C62" s="186"/>
      <c r="D62" s="28">
        <v>347363</v>
      </c>
      <c r="E62" s="29"/>
      <c r="F62" s="29">
        <v>62377</v>
      </c>
      <c r="G62" s="28"/>
      <c r="H62" s="28">
        <v>23257</v>
      </c>
      <c r="I62" s="28">
        <v>14650</v>
      </c>
      <c r="J62" s="28">
        <v>68695</v>
      </c>
      <c r="K62" s="28">
        <v>7650</v>
      </c>
      <c r="L62" s="28">
        <v>9018</v>
      </c>
      <c r="M62" s="28"/>
      <c r="N62" s="42">
        <v>15681</v>
      </c>
      <c r="O62" s="29"/>
      <c r="P62" s="139">
        <f t="shared" si="10"/>
        <v>548691</v>
      </c>
      <c r="Q62" s="265"/>
      <c r="R62" s="24"/>
      <c r="S62" s="32"/>
      <c r="T62" s="25"/>
    </row>
    <row r="63" spans="1:20" s="5" customFormat="1" ht="45" customHeight="1">
      <c r="A63" s="185" t="s">
        <v>179</v>
      </c>
      <c r="B63" s="171" t="s">
        <v>180</v>
      </c>
      <c r="C63" s="187">
        <v>341330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65"/>
      <c r="P63" s="139">
        <f t="shared" si="10"/>
        <v>341330</v>
      </c>
      <c r="Q63" s="265"/>
      <c r="R63" s="24"/>
      <c r="S63" s="32"/>
      <c r="T63" s="25"/>
    </row>
    <row r="64" spans="1:20" s="5" customFormat="1" ht="29.25">
      <c r="A64" s="140" t="s">
        <v>181</v>
      </c>
      <c r="B64" s="176" t="s">
        <v>182</v>
      </c>
      <c r="C64" s="188">
        <f aca="true" t="shared" si="15" ref="C64:O64">SUM(C65:C65)</f>
        <v>2315107</v>
      </c>
      <c r="D64" s="132">
        <f t="shared" si="15"/>
        <v>0</v>
      </c>
      <c r="E64" s="132">
        <f t="shared" si="15"/>
        <v>0</v>
      </c>
      <c r="F64" s="132">
        <f t="shared" si="15"/>
        <v>0</v>
      </c>
      <c r="G64" s="132">
        <f t="shared" si="15"/>
        <v>0</v>
      </c>
      <c r="H64" s="132">
        <f t="shared" si="15"/>
        <v>0</v>
      </c>
      <c r="I64" s="132">
        <f t="shared" si="15"/>
        <v>0</v>
      </c>
      <c r="J64" s="132">
        <f t="shared" si="15"/>
        <v>0</v>
      </c>
      <c r="K64" s="132">
        <f t="shared" si="15"/>
        <v>0</v>
      </c>
      <c r="L64" s="132">
        <f t="shared" si="15"/>
        <v>0</v>
      </c>
      <c r="M64" s="132">
        <f t="shared" si="15"/>
        <v>0</v>
      </c>
      <c r="N64" s="132">
        <f t="shared" si="15"/>
        <v>0</v>
      </c>
      <c r="O64" s="132">
        <f t="shared" si="15"/>
        <v>0</v>
      </c>
      <c r="P64" s="139">
        <f t="shared" si="10"/>
        <v>2315107</v>
      </c>
      <c r="Q64" s="265"/>
      <c r="R64" s="24"/>
      <c r="S64" s="32"/>
      <c r="T64" s="25"/>
    </row>
    <row r="65" spans="1:20" ht="45">
      <c r="A65" s="174" t="s">
        <v>183</v>
      </c>
      <c r="B65" s="189" t="s">
        <v>184</v>
      </c>
      <c r="C65" s="187">
        <v>2315107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85"/>
      <c r="P65" s="139">
        <f t="shared" si="10"/>
        <v>2315107</v>
      </c>
      <c r="Q65" s="265"/>
      <c r="R65" s="24"/>
      <c r="S65" s="32"/>
      <c r="T65" s="25"/>
    </row>
    <row r="66" spans="1:20" ht="29.25">
      <c r="A66" s="130" t="s">
        <v>185</v>
      </c>
      <c r="B66" s="176" t="s">
        <v>186</v>
      </c>
      <c r="C66" s="188">
        <f>C67</f>
        <v>43527</v>
      </c>
      <c r="D66" s="132">
        <f aca="true" t="shared" si="16" ref="D66:O66">D67</f>
        <v>0</v>
      </c>
      <c r="E66" s="132">
        <f t="shared" si="16"/>
        <v>0</v>
      </c>
      <c r="F66" s="132">
        <f t="shared" si="16"/>
        <v>0</v>
      </c>
      <c r="G66" s="132">
        <f t="shared" si="16"/>
        <v>9000</v>
      </c>
      <c r="H66" s="132">
        <f t="shared" si="16"/>
        <v>0</v>
      </c>
      <c r="I66" s="132">
        <f t="shared" si="16"/>
        <v>0</v>
      </c>
      <c r="J66" s="132">
        <f t="shared" si="16"/>
        <v>0</v>
      </c>
      <c r="K66" s="132">
        <f t="shared" si="16"/>
        <v>0</v>
      </c>
      <c r="L66" s="132">
        <f t="shared" si="16"/>
        <v>0</v>
      </c>
      <c r="M66" s="132">
        <f t="shared" si="16"/>
        <v>0</v>
      </c>
      <c r="N66" s="132">
        <f t="shared" si="16"/>
        <v>0</v>
      </c>
      <c r="O66" s="132">
        <f t="shared" si="16"/>
        <v>0</v>
      </c>
      <c r="P66" s="139">
        <f t="shared" si="10"/>
        <v>52527</v>
      </c>
      <c r="Q66" s="265"/>
      <c r="R66" s="24"/>
      <c r="S66" s="32"/>
      <c r="T66" s="25"/>
    </row>
    <row r="67" spans="1:20" ht="30.75" thickBot="1">
      <c r="A67" s="191" t="s">
        <v>187</v>
      </c>
      <c r="B67" s="285" t="s">
        <v>186</v>
      </c>
      <c r="C67" s="268">
        <f>40027+3500</f>
        <v>43527</v>
      </c>
      <c r="D67" s="158"/>
      <c r="E67" s="158"/>
      <c r="F67" s="158"/>
      <c r="G67" s="69">
        <v>9000</v>
      </c>
      <c r="H67" s="158"/>
      <c r="I67" s="158"/>
      <c r="J67" s="158"/>
      <c r="K67" s="158"/>
      <c r="L67" s="158"/>
      <c r="M67" s="158"/>
      <c r="N67" s="158"/>
      <c r="O67" s="148"/>
      <c r="P67" s="286">
        <f t="shared" si="10"/>
        <v>52527</v>
      </c>
      <c r="Q67" s="265"/>
      <c r="R67" s="24"/>
      <c r="S67" s="32"/>
      <c r="T67" s="25"/>
    </row>
    <row r="68" spans="1:20" ht="15" customHeight="1" thickBot="1">
      <c r="A68" s="71" t="s">
        <v>188</v>
      </c>
      <c r="B68" s="182" t="s">
        <v>189</v>
      </c>
      <c r="C68" s="192">
        <f aca="true" t="shared" si="17" ref="C68:O68">SUM(C69:C74)</f>
        <v>8854511</v>
      </c>
      <c r="D68" s="192">
        <f t="shared" si="17"/>
        <v>3049600</v>
      </c>
      <c r="E68" s="192">
        <f t="shared" si="17"/>
        <v>0</v>
      </c>
      <c r="F68" s="192">
        <f t="shared" si="17"/>
        <v>439437</v>
      </c>
      <c r="G68" s="192">
        <f t="shared" si="17"/>
        <v>97562</v>
      </c>
      <c r="H68" s="192">
        <f t="shared" si="17"/>
        <v>222245</v>
      </c>
      <c r="I68" s="192">
        <f t="shared" si="17"/>
        <v>265695</v>
      </c>
      <c r="J68" s="192">
        <f t="shared" si="17"/>
        <v>466528</v>
      </c>
      <c r="K68" s="192">
        <f t="shared" si="17"/>
        <v>145442</v>
      </c>
      <c r="L68" s="192">
        <f t="shared" si="17"/>
        <v>136915</v>
      </c>
      <c r="M68" s="192">
        <f t="shared" si="17"/>
        <v>131548</v>
      </c>
      <c r="N68" s="192">
        <f t="shared" si="17"/>
        <v>129216</v>
      </c>
      <c r="O68" s="192">
        <f t="shared" si="17"/>
        <v>0</v>
      </c>
      <c r="P68" s="57">
        <f t="shared" si="10"/>
        <v>13938699</v>
      </c>
      <c r="Q68" s="265"/>
      <c r="R68" s="24"/>
      <c r="S68" s="32"/>
      <c r="T68" s="25"/>
    </row>
    <row r="69" spans="1:20" ht="15">
      <c r="A69" s="140" t="s">
        <v>190</v>
      </c>
      <c r="B69" s="142" t="s">
        <v>191</v>
      </c>
      <c r="C69" s="183">
        <v>152958</v>
      </c>
      <c r="D69" s="28"/>
      <c r="E69" s="29"/>
      <c r="F69" s="29"/>
      <c r="G69" s="28"/>
      <c r="H69" s="28"/>
      <c r="I69" s="28"/>
      <c r="J69" s="28"/>
      <c r="K69" s="28"/>
      <c r="L69" s="28"/>
      <c r="M69" s="28"/>
      <c r="N69" s="29"/>
      <c r="O69" s="29"/>
      <c r="P69" s="139">
        <f t="shared" si="10"/>
        <v>152958</v>
      </c>
      <c r="Q69" s="265"/>
      <c r="R69" s="24"/>
      <c r="S69" s="32"/>
      <c r="T69" s="25"/>
    </row>
    <row r="70" spans="1:20" ht="15">
      <c r="A70" s="140" t="s">
        <v>192</v>
      </c>
      <c r="B70" s="142" t="s">
        <v>193</v>
      </c>
      <c r="C70" s="184"/>
      <c r="D70" s="28"/>
      <c r="E70" s="28"/>
      <c r="F70" s="28"/>
      <c r="G70" s="35"/>
      <c r="H70" s="28"/>
      <c r="I70" s="28"/>
      <c r="J70" s="28"/>
      <c r="K70" s="28"/>
      <c r="L70" s="28"/>
      <c r="M70" s="28"/>
      <c r="N70" s="29"/>
      <c r="O70" s="29"/>
      <c r="P70" s="139">
        <f t="shared" si="10"/>
        <v>0</v>
      </c>
      <c r="Q70" s="265"/>
      <c r="R70" s="24"/>
      <c r="S70" s="32"/>
      <c r="T70" s="25"/>
    </row>
    <row r="71" spans="1:20" ht="15">
      <c r="A71" s="37" t="s">
        <v>194</v>
      </c>
      <c r="B71" s="162" t="s">
        <v>195</v>
      </c>
      <c r="C71" s="184"/>
      <c r="D71" s="28">
        <v>358827</v>
      </c>
      <c r="E71" s="28"/>
      <c r="F71" s="28">
        <v>35337</v>
      </c>
      <c r="G71" s="35"/>
      <c r="H71" s="28">
        <v>28158</v>
      </c>
      <c r="I71" s="28">
        <v>55934</v>
      </c>
      <c r="J71" s="28">
        <v>52841</v>
      </c>
      <c r="K71" s="28">
        <v>16080</v>
      </c>
      <c r="L71" s="28">
        <v>9671</v>
      </c>
      <c r="M71" s="89">
        <v>113512</v>
      </c>
      <c r="N71" s="42">
        <v>9700</v>
      </c>
      <c r="O71" s="29"/>
      <c r="P71" s="139">
        <f t="shared" si="10"/>
        <v>680060</v>
      </c>
      <c r="Q71" s="265"/>
      <c r="R71" s="24"/>
      <c r="S71" s="32"/>
      <c r="T71" s="25"/>
    </row>
    <row r="72" spans="1:20" ht="15">
      <c r="A72" s="168" t="s">
        <v>614</v>
      </c>
      <c r="B72" s="162" t="s">
        <v>196</v>
      </c>
      <c r="C72" s="184">
        <v>1056550</v>
      </c>
      <c r="D72" s="28"/>
      <c r="E72" s="28"/>
      <c r="F72" s="28"/>
      <c r="G72" s="29">
        <v>9750</v>
      </c>
      <c r="H72" s="28">
        <v>1320</v>
      </c>
      <c r="I72" s="28"/>
      <c r="J72" s="28">
        <v>11625</v>
      </c>
      <c r="K72" s="28"/>
      <c r="L72" s="28"/>
      <c r="M72" s="89"/>
      <c r="N72" s="29">
        <v>9596</v>
      </c>
      <c r="O72" s="29"/>
      <c r="P72" s="139">
        <f t="shared" si="10"/>
        <v>1088841</v>
      </c>
      <c r="Q72" s="265"/>
      <c r="R72" s="24"/>
      <c r="S72" s="32"/>
      <c r="T72" s="25"/>
    </row>
    <row r="73" spans="1:20" ht="15">
      <c r="A73" s="168" t="s">
        <v>608</v>
      </c>
      <c r="B73" s="162" t="s">
        <v>630</v>
      </c>
      <c r="C73" s="186">
        <v>220000</v>
      </c>
      <c r="D73" s="29"/>
      <c r="E73" s="29"/>
      <c r="F73" s="29"/>
      <c r="G73" s="29"/>
      <c r="H73" s="29"/>
      <c r="I73" s="29"/>
      <c r="J73" s="29"/>
      <c r="K73" s="29"/>
      <c r="L73" s="29"/>
      <c r="M73" s="194"/>
      <c r="N73" s="29"/>
      <c r="O73" s="29"/>
      <c r="P73" s="139">
        <f t="shared" si="10"/>
        <v>220000</v>
      </c>
      <c r="Q73" s="265"/>
      <c r="R73" s="24"/>
      <c r="S73" s="32"/>
      <c r="T73" s="25"/>
    </row>
    <row r="74" spans="1:20" ht="43.5">
      <c r="A74" s="140" t="s">
        <v>197</v>
      </c>
      <c r="B74" s="142" t="s">
        <v>198</v>
      </c>
      <c r="C74" s="193">
        <f aca="true" t="shared" si="18" ref="C74:O74">SUM(C75:C99)</f>
        <v>7425003</v>
      </c>
      <c r="D74" s="183">
        <f t="shared" si="18"/>
        <v>2690773</v>
      </c>
      <c r="E74" s="183">
        <f t="shared" si="18"/>
        <v>0</v>
      </c>
      <c r="F74" s="183">
        <f t="shared" si="18"/>
        <v>404100</v>
      </c>
      <c r="G74" s="183">
        <f t="shared" si="18"/>
        <v>87812</v>
      </c>
      <c r="H74" s="183">
        <f t="shared" si="18"/>
        <v>192767</v>
      </c>
      <c r="I74" s="183">
        <f t="shared" si="18"/>
        <v>209761</v>
      </c>
      <c r="J74" s="183">
        <f t="shared" si="18"/>
        <v>402062</v>
      </c>
      <c r="K74" s="183">
        <f t="shared" si="18"/>
        <v>129362</v>
      </c>
      <c r="L74" s="183">
        <f t="shared" si="18"/>
        <v>127244</v>
      </c>
      <c r="M74" s="183">
        <f t="shared" si="18"/>
        <v>18036</v>
      </c>
      <c r="N74" s="183">
        <f t="shared" si="18"/>
        <v>109920</v>
      </c>
      <c r="O74" s="183">
        <f t="shared" si="18"/>
        <v>0</v>
      </c>
      <c r="P74" s="139">
        <f t="shared" si="10"/>
        <v>11796840</v>
      </c>
      <c r="Q74" s="265"/>
      <c r="R74" s="24"/>
      <c r="S74" s="32"/>
      <c r="T74" s="25"/>
    </row>
    <row r="75" spans="1:20" ht="15">
      <c r="A75" s="37" t="s">
        <v>199</v>
      </c>
      <c r="B75" s="162" t="s">
        <v>200</v>
      </c>
      <c r="C75" s="195"/>
      <c r="D75" s="28">
        <v>2654230</v>
      </c>
      <c r="E75" s="28"/>
      <c r="F75" s="28">
        <v>91910</v>
      </c>
      <c r="G75" s="90"/>
      <c r="H75" s="64">
        <v>8976</v>
      </c>
      <c r="I75" s="28">
        <v>20750</v>
      </c>
      <c r="J75" s="28"/>
      <c r="K75" s="28"/>
      <c r="L75" s="28"/>
      <c r="M75" s="28"/>
      <c r="N75" s="28"/>
      <c r="O75" s="29"/>
      <c r="P75" s="139">
        <f t="shared" si="10"/>
        <v>2775866</v>
      </c>
      <c r="Q75" s="265"/>
      <c r="R75" s="24"/>
      <c r="S75" s="32"/>
      <c r="T75" s="25"/>
    </row>
    <row r="76" spans="1:20" ht="15">
      <c r="A76" s="37" t="s">
        <v>201</v>
      </c>
      <c r="B76" s="162" t="s">
        <v>202</v>
      </c>
      <c r="C76" s="195"/>
      <c r="D76" s="28"/>
      <c r="E76" s="28"/>
      <c r="F76" s="28">
        <v>312190</v>
      </c>
      <c r="G76" s="90"/>
      <c r="H76" s="28">
        <v>133528</v>
      </c>
      <c r="I76" s="28">
        <v>105700</v>
      </c>
      <c r="J76" s="28">
        <v>221100</v>
      </c>
      <c r="K76" s="28"/>
      <c r="L76" s="28"/>
      <c r="M76" s="28"/>
      <c r="N76" s="29">
        <v>47000</v>
      </c>
      <c r="O76" s="29"/>
      <c r="P76" s="139">
        <f t="shared" si="10"/>
        <v>819518</v>
      </c>
      <c r="Q76" s="265"/>
      <c r="R76" s="24"/>
      <c r="S76" s="32"/>
      <c r="T76" s="25"/>
    </row>
    <row r="77" spans="1:20" ht="15">
      <c r="A77" s="37" t="s">
        <v>203</v>
      </c>
      <c r="B77" s="162" t="s">
        <v>204</v>
      </c>
      <c r="C77" s="186">
        <v>17011</v>
      </c>
      <c r="D77" s="28">
        <v>36543</v>
      </c>
      <c r="E77" s="29"/>
      <c r="F77" s="29"/>
      <c r="G77" s="29">
        <v>12745</v>
      </c>
      <c r="H77" s="28"/>
      <c r="I77" s="28"/>
      <c r="J77" s="28">
        <v>20032</v>
      </c>
      <c r="K77" s="28">
        <v>8324</v>
      </c>
      <c r="L77" s="28"/>
      <c r="M77" s="28">
        <v>7492</v>
      </c>
      <c r="N77" s="29">
        <v>425</v>
      </c>
      <c r="O77" s="29"/>
      <c r="P77" s="139">
        <f t="shared" si="10"/>
        <v>102572</v>
      </c>
      <c r="Q77" s="265"/>
      <c r="R77" s="24"/>
      <c r="S77" s="32"/>
      <c r="T77" s="25"/>
    </row>
    <row r="78" spans="1:20" ht="30">
      <c r="A78" s="37" t="s">
        <v>205</v>
      </c>
      <c r="B78" s="162" t="s">
        <v>206</v>
      </c>
      <c r="C78" s="187">
        <v>87300</v>
      </c>
      <c r="D78" s="28"/>
      <c r="E78" s="29"/>
      <c r="F78" s="29"/>
      <c r="G78" s="28"/>
      <c r="H78" s="28"/>
      <c r="I78" s="28"/>
      <c r="J78" s="28"/>
      <c r="K78" s="28"/>
      <c r="L78" s="28"/>
      <c r="M78" s="28"/>
      <c r="N78" s="29"/>
      <c r="O78" s="29"/>
      <c r="P78" s="139">
        <f t="shared" si="10"/>
        <v>87300</v>
      </c>
      <c r="Q78" s="265"/>
      <c r="R78" s="24"/>
      <c r="S78" s="32"/>
      <c r="T78" s="25"/>
    </row>
    <row r="79" spans="1:20" ht="30">
      <c r="A79" s="37" t="s">
        <v>207</v>
      </c>
      <c r="B79" s="171" t="s">
        <v>208</v>
      </c>
      <c r="C79" s="280">
        <v>80000</v>
      </c>
      <c r="D79" s="28"/>
      <c r="E79" s="29"/>
      <c r="F79" s="29"/>
      <c r="G79" s="29">
        <v>4750</v>
      </c>
      <c r="H79" s="28"/>
      <c r="I79" s="28">
        <v>3000</v>
      </c>
      <c r="J79" s="28">
        <v>5300</v>
      </c>
      <c r="K79" s="28"/>
      <c r="L79" s="28"/>
      <c r="M79" s="28"/>
      <c r="N79" s="29">
        <v>780</v>
      </c>
      <c r="O79" s="29"/>
      <c r="P79" s="139">
        <f t="shared" si="10"/>
        <v>93830</v>
      </c>
      <c r="Q79" s="265"/>
      <c r="R79" s="24"/>
      <c r="S79" s="32"/>
      <c r="T79" s="25"/>
    </row>
    <row r="80" spans="1:20" ht="15">
      <c r="A80" s="37" t="s">
        <v>209</v>
      </c>
      <c r="B80" s="196" t="s">
        <v>210</v>
      </c>
      <c r="C80" s="184">
        <f>10500+120000</f>
        <v>130500</v>
      </c>
      <c r="D80" s="29"/>
      <c r="E80" s="29"/>
      <c r="F80" s="29"/>
      <c r="G80" s="29">
        <v>2500</v>
      </c>
      <c r="H80" s="28"/>
      <c r="I80" s="28">
        <v>67677</v>
      </c>
      <c r="J80" s="28"/>
      <c r="K80" s="28">
        <v>97490</v>
      </c>
      <c r="L80" s="28"/>
      <c r="M80" s="89"/>
      <c r="N80" s="29"/>
      <c r="O80" s="29"/>
      <c r="P80" s="139">
        <f t="shared" si="10"/>
        <v>298167</v>
      </c>
      <c r="Q80" s="265"/>
      <c r="R80" s="24"/>
      <c r="S80" s="32"/>
      <c r="T80" s="25"/>
    </row>
    <row r="81" spans="1:20" ht="15">
      <c r="A81" s="37" t="s">
        <v>211</v>
      </c>
      <c r="B81" s="162" t="s">
        <v>212</v>
      </c>
      <c r="C81" s="197">
        <v>6000</v>
      </c>
      <c r="D81" s="28"/>
      <c r="E81" s="29"/>
      <c r="F81" s="29"/>
      <c r="G81" s="28"/>
      <c r="H81" s="28"/>
      <c r="I81" s="28"/>
      <c r="J81" s="28"/>
      <c r="K81" s="28"/>
      <c r="L81" s="28"/>
      <c r="M81" s="28"/>
      <c r="N81" s="29"/>
      <c r="O81" s="29"/>
      <c r="P81" s="139">
        <f t="shared" si="10"/>
        <v>6000</v>
      </c>
      <c r="Q81" s="265"/>
      <c r="R81" s="24"/>
      <c r="S81" s="32"/>
      <c r="T81" s="25"/>
    </row>
    <row r="82" spans="1:20" ht="15">
      <c r="A82" s="37" t="s">
        <v>213</v>
      </c>
      <c r="B82" s="162" t="s">
        <v>214</v>
      </c>
      <c r="C82" s="186"/>
      <c r="D82" s="29"/>
      <c r="E82" s="29"/>
      <c r="F82" s="29"/>
      <c r="G82" s="28"/>
      <c r="H82" s="28">
        <v>50263</v>
      </c>
      <c r="I82" s="28"/>
      <c r="J82" s="173">
        <v>155630</v>
      </c>
      <c r="K82" s="28">
        <v>23548</v>
      </c>
      <c r="L82" s="28">
        <v>127244</v>
      </c>
      <c r="M82" s="28"/>
      <c r="N82" s="42">
        <v>61715</v>
      </c>
      <c r="O82" s="29"/>
      <c r="P82" s="139">
        <f aca="true" t="shared" si="19" ref="P82:P99">SUM(C82:O82)</f>
        <v>418400</v>
      </c>
      <c r="Q82" s="265"/>
      <c r="R82" s="24"/>
      <c r="S82" s="32"/>
      <c r="T82" s="25"/>
    </row>
    <row r="83" spans="1:20" ht="15">
      <c r="A83" s="37" t="s">
        <v>215</v>
      </c>
      <c r="B83" s="171" t="s">
        <v>216</v>
      </c>
      <c r="C83" s="272"/>
      <c r="D83" s="28"/>
      <c r="E83" s="28"/>
      <c r="F83" s="28"/>
      <c r="G83" s="28">
        <v>61487</v>
      </c>
      <c r="H83" s="28"/>
      <c r="I83" s="28">
        <v>12634</v>
      </c>
      <c r="J83" s="173"/>
      <c r="K83" s="28"/>
      <c r="L83" s="28"/>
      <c r="M83" s="28"/>
      <c r="N83" s="29"/>
      <c r="O83" s="29"/>
      <c r="P83" s="139">
        <f t="shared" si="19"/>
        <v>74121</v>
      </c>
      <c r="Q83" s="265"/>
      <c r="R83" s="24"/>
      <c r="S83" s="32"/>
      <c r="T83" s="25"/>
    </row>
    <row r="84" spans="1:20" ht="30" customHeight="1">
      <c r="A84" s="198" t="s">
        <v>217</v>
      </c>
      <c r="B84" s="199" t="s">
        <v>218</v>
      </c>
      <c r="C84" s="277">
        <v>438355</v>
      </c>
      <c r="D84" s="28"/>
      <c r="E84" s="28"/>
      <c r="F84" s="28"/>
      <c r="G84" s="28"/>
      <c r="H84" s="28"/>
      <c r="I84" s="28"/>
      <c r="J84" s="173"/>
      <c r="K84" s="28"/>
      <c r="L84" s="28"/>
      <c r="M84" s="28">
        <v>10544</v>
      </c>
      <c r="N84" s="29"/>
      <c r="O84" s="29"/>
      <c r="P84" s="139">
        <f>SUM(C84:O84)</f>
        <v>448899</v>
      </c>
      <c r="Q84" s="265"/>
      <c r="R84" s="24"/>
      <c r="S84" s="32"/>
      <c r="T84" s="25"/>
    </row>
    <row r="85" spans="1:20" ht="15">
      <c r="A85" s="198" t="s">
        <v>219</v>
      </c>
      <c r="B85" s="199" t="s">
        <v>220</v>
      </c>
      <c r="C85" s="277">
        <v>226716</v>
      </c>
      <c r="D85" s="28"/>
      <c r="E85" s="28"/>
      <c r="F85" s="28"/>
      <c r="G85" s="28"/>
      <c r="H85" s="28"/>
      <c r="I85" s="28"/>
      <c r="J85" s="173"/>
      <c r="K85" s="28"/>
      <c r="L85" s="28"/>
      <c r="M85" s="28"/>
      <c r="N85" s="29"/>
      <c r="O85" s="29"/>
      <c r="P85" s="139">
        <f t="shared" si="19"/>
        <v>226716</v>
      </c>
      <c r="Q85" s="265"/>
      <c r="R85" s="24"/>
      <c r="S85" s="32"/>
      <c r="T85" s="25"/>
    </row>
    <row r="86" spans="1:20" ht="15">
      <c r="A86" s="198" t="s">
        <v>221</v>
      </c>
      <c r="B86" s="199" t="s">
        <v>222</v>
      </c>
      <c r="C86" s="277">
        <v>195119</v>
      </c>
      <c r="D86" s="28"/>
      <c r="E86" s="28"/>
      <c r="F86" s="28"/>
      <c r="G86" s="28"/>
      <c r="H86" s="28"/>
      <c r="I86" s="28"/>
      <c r="J86" s="173"/>
      <c r="K86" s="28"/>
      <c r="L86" s="28"/>
      <c r="M86" s="28"/>
      <c r="N86" s="29"/>
      <c r="O86" s="29"/>
      <c r="P86" s="139">
        <f t="shared" si="19"/>
        <v>195119</v>
      </c>
      <c r="Q86" s="265"/>
      <c r="R86" s="24"/>
      <c r="S86" s="32"/>
      <c r="T86" s="25"/>
    </row>
    <row r="87" spans="1:20" ht="15">
      <c r="A87" s="198" t="s">
        <v>223</v>
      </c>
      <c r="B87" s="199" t="s">
        <v>224</v>
      </c>
      <c r="C87" s="277">
        <v>518481</v>
      </c>
      <c r="D87" s="28"/>
      <c r="E87" s="28"/>
      <c r="F87" s="28"/>
      <c r="G87" s="28"/>
      <c r="H87" s="28"/>
      <c r="I87" s="28"/>
      <c r="J87" s="173"/>
      <c r="K87" s="28"/>
      <c r="L87" s="28"/>
      <c r="M87" s="28"/>
      <c r="N87" s="29"/>
      <c r="O87" s="29"/>
      <c r="P87" s="139">
        <f t="shared" si="19"/>
        <v>518481</v>
      </c>
      <c r="Q87" s="265"/>
      <c r="R87" s="24"/>
      <c r="S87" s="32"/>
      <c r="T87" s="25"/>
    </row>
    <row r="88" spans="1:20" ht="30" customHeight="1">
      <c r="A88" s="198" t="s">
        <v>225</v>
      </c>
      <c r="B88" s="199" t="s">
        <v>226</v>
      </c>
      <c r="C88" s="278">
        <v>565655</v>
      </c>
      <c r="D88" s="28"/>
      <c r="E88" s="28"/>
      <c r="F88" s="28"/>
      <c r="G88" s="28"/>
      <c r="H88" s="28"/>
      <c r="I88" s="28"/>
      <c r="J88" s="173"/>
      <c r="K88" s="28"/>
      <c r="L88" s="28"/>
      <c r="M88" s="28"/>
      <c r="N88" s="29"/>
      <c r="O88" s="29"/>
      <c r="P88" s="139">
        <f t="shared" si="19"/>
        <v>565655</v>
      </c>
      <c r="Q88" s="265"/>
      <c r="R88" s="24"/>
      <c r="S88" s="32"/>
      <c r="T88" s="25"/>
    </row>
    <row r="89" spans="1:20" ht="15">
      <c r="A89" s="198" t="s">
        <v>227</v>
      </c>
      <c r="B89" s="199" t="s">
        <v>228</v>
      </c>
      <c r="C89" s="278">
        <v>117133</v>
      </c>
      <c r="D89" s="28"/>
      <c r="E89" s="28"/>
      <c r="F89" s="28"/>
      <c r="G89" s="28"/>
      <c r="H89" s="28"/>
      <c r="I89" s="28"/>
      <c r="J89" s="173"/>
      <c r="K89" s="28"/>
      <c r="L89" s="28"/>
      <c r="M89" s="28"/>
      <c r="N89" s="29"/>
      <c r="O89" s="29"/>
      <c r="P89" s="139">
        <f t="shared" si="19"/>
        <v>117133</v>
      </c>
      <c r="Q89" s="265"/>
      <c r="R89" s="24"/>
      <c r="S89" s="32"/>
      <c r="T89" s="25"/>
    </row>
    <row r="90" spans="1:20" ht="30" customHeight="1">
      <c r="A90" s="198" t="s">
        <v>229</v>
      </c>
      <c r="B90" s="199" t="s">
        <v>230</v>
      </c>
      <c r="C90" s="277">
        <v>152498</v>
      </c>
      <c r="D90" s="28"/>
      <c r="E90" s="28"/>
      <c r="F90" s="28"/>
      <c r="G90" s="28"/>
      <c r="H90" s="28"/>
      <c r="I90" s="28"/>
      <c r="J90" s="173"/>
      <c r="K90" s="28"/>
      <c r="L90" s="28"/>
      <c r="M90" s="28"/>
      <c r="N90" s="29"/>
      <c r="O90" s="29"/>
      <c r="P90" s="139">
        <f t="shared" si="19"/>
        <v>152498</v>
      </c>
      <c r="Q90" s="265"/>
      <c r="R90" s="24"/>
      <c r="S90" s="32"/>
      <c r="T90" s="25"/>
    </row>
    <row r="91" spans="1:20" ht="15">
      <c r="A91" s="198" t="s">
        <v>231</v>
      </c>
      <c r="B91" s="199" t="s">
        <v>232</v>
      </c>
      <c r="C91" s="277">
        <v>473290</v>
      </c>
      <c r="D91" s="28"/>
      <c r="E91" s="28"/>
      <c r="F91" s="28"/>
      <c r="G91" s="28"/>
      <c r="H91" s="28"/>
      <c r="I91" s="28"/>
      <c r="J91" s="173"/>
      <c r="K91" s="28"/>
      <c r="L91" s="28"/>
      <c r="M91" s="28"/>
      <c r="N91" s="29"/>
      <c r="O91" s="29"/>
      <c r="P91" s="139">
        <f t="shared" si="19"/>
        <v>473290</v>
      </c>
      <c r="Q91" s="265"/>
      <c r="R91" s="24"/>
      <c r="S91" s="32"/>
      <c r="T91" s="25"/>
    </row>
    <row r="92" spans="1:20" ht="15">
      <c r="A92" s="198" t="s">
        <v>233</v>
      </c>
      <c r="B92" s="199" t="s">
        <v>636</v>
      </c>
      <c r="C92" s="277">
        <v>640105</v>
      </c>
      <c r="D92" s="28"/>
      <c r="E92" s="28"/>
      <c r="F92" s="28"/>
      <c r="G92" s="28"/>
      <c r="H92" s="28"/>
      <c r="I92" s="28"/>
      <c r="J92" s="173"/>
      <c r="K92" s="28"/>
      <c r="L92" s="28"/>
      <c r="M92" s="28"/>
      <c r="N92" s="29"/>
      <c r="O92" s="29"/>
      <c r="P92" s="139">
        <f t="shared" si="19"/>
        <v>640105</v>
      </c>
      <c r="Q92" s="265"/>
      <c r="R92" s="24"/>
      <c r="S92" s="32"/>
      <c r="T92" s="25"/>
    </row>
    <row r="93" spans="1:20" ht="30">
      <c r="A93" s="174" t="s">
        <v>234</v>
      </c>
      <c r="B93" s="200" t="s">
        <v>235</v>
      </c>
      <c r="C93" s="184">
        <v>1683815</v>
      </c>
      <c r="D93" s="29"/>
      <c r="E93" s="29"/>
      <c r="F93" s="29"/>
      <c r="G93" s="28"/>
      <c r="H93" s="28"/>
      <c r="I93" s="28"/>
      <c r="J93" s="173"/>
      <c r="K93" s="29"/>
      <c r="L93" s="28"/>
      <c r="M93" s="28"/>
      <c r="N93" s="29"/>
      <c r="O93" s="29"/>
      <c r="P93" s="139">
        <f t="shared" si="19"/>
        <v>1683815</v>
      </c>
      <c r="Q93" s="265"/>
      <c r="R93" s="24"/>
      <c r="S93" s="32"/>
      <c r="T93" s="25"/>
    </row>
    <row r="94" spans="1:20" ht="30" customHeight="1">
      <c r="A94" s="179" t="s">
        <v>236</v>
      </c>
      <c r="B94" s="201" t="s">
        <v>237</v>
      </c>
      <c r="C94" s="277">
        <v>1112835</v>
      </c>
      <c r="D94" s="29"/>
      <c r="E94" s="29"/>
      <c r="F94" s="29"/>
      <c r="G94" s="28"/>
      <c r="H94" s="28"/>
      <c r="I94" s="28"/>
      <c r="J94" s="173"/>
      <c r="K94" s="29"/>
      <c r="L94" s="28"/>
      <c r="M94" s="28"/>
      <c r="N94" s="29"/>
      <c r="O94" s="29"/>
      <c r="P94" s="139">
        <f t="shared" si="19"/>
        <v>1112835</v>
      </c>
      <c r="Q94" s="265"/>
      <c r="R94" s="24"/>
      <c r="S94" s="32"/>
      <c r="T94" s="25"/>
    </row>
    <row r="95" spans="1:20" ht="30" customHeight="1">
      <c r="A95" s="179" t="s">
        <v>238</v>
      </c>
      <c r="B95" s="203" t="s">
        <v>239</v>
      </c>
      <c r="C95" s="277">
        <v>539840</v>
      </c>
      <c r="D95" s="29"/>
      <c r="E95" s="29"/>
      <c r="F95" s="29"/>
      <c r="G95" s="28"/>
      <c r="H95" s="28"/>
      <c r="I95" s="28"/>
      <c r="J95" s="173"/>
      <c r="K95" s="29"/>
      <c r="L95" s="28"/>
      <c r="M95" s="28"/>
      <c r="N95" s="29"/>
      <c r="O95" s="29"/>
      <c r="P95" s="139">
        <f t="shared" si="19"/>
        <v>539840</v>
      </c>
      <c r="Q95" s="265"/>
      <c r="R95" s="24"/>
      <c r="S95" s="32"/>
      <c r="T95" s="25"/>
    </row>
    <row r="96" spans="1:20" ht="30">
      <c r="A96" s="179" t="s">
        <v>240</v>
      </c>
      <c r="B96" s="203" t="s">
        <v>241</v>
      </c>
      <c r="C96" s="277">
        <v>422591</v>
      </c>
      <c r="D96" s="29"/>
      <c r="E96" s="29"/>
      <c r="F96" s="29"/>
      <c r="G96" s="28"/>
      <c r="H96" s="28"/>
      <c r="I96" s="28"/>
      <c r="J96" s="173"/>
      <c r="K96" s="29"/>
      <c r="L96" s="28"/>
      <c r="M96" s="28"/>
      <c r="N96" s="29"/>
      <c r="O96" s="29"/>
      <c r="P96" s="139">
        <f t="shared" si="19"/>
        <v>422591</v>
      </c>
      <c r="Q96" s="265"/>
      <c r="R96" s="24"/>
      <c r="S96" s="32"/>
      <c r="T96" s="25"/>
    </row>
    <row r="97" spans="1:20" ht="15.75">
      <c r="A97" s="174" t="s">
        <v>242</v>
      </c>
      <c r="B97" s="204" t="s">
        <v>243</v>
      </c>
      <c r="C97" s="186"/>
      <c r="D97" s="29"/>
      <c r="E97" s="29"/>
      <c r="F97" s="29"/>
      <c r="G97" s="29">
        <v>6330</v>
      </c>
      <c r="H97" s="29"/>
      <c r="I97" s="29"/>
      <c r="J97" s="155"/>
      <c r="K97" s="29"/>
      <c r="L97" s="29"/>
      <c r="M97" s="29"/>
      <c r="N97" s="29"/>
      <c r="O97" s="29"/>
      <c r="P97" s="139">
        <f t="shared" si="19"/>
        <v>6330</v>
      </c>
      <c r="Q97" s="265"/>
      <c r="R97" s="24"/>
      <c r="S97" s="32"/>
      <c r="T97" s="25"/>
    </row>
    <row r="98" spans="1:20" ht="45">
      <c r="A98" s="174" t="s">
        <v>244</v>
      </c>
      <c r="B98" s="201" t="s">
        <v>245</v>
      </c>
      <c r="C98" s="186">
        <v>11467</v>
      </c>
      <c r="D98" s="29"/>
      <c r="E98" s="29"/>
      <c r="F98" s="29"/>
      <c r="G98" s="29"/>
      <c r="H98" s="29"/>
      <c r="I98" s="29"/>
      <c r="J98" s="155"/>
      <c r="K98" s="29"/>
      <c r="L98" s="29"/>
      <c r="M98" s="29"/>
      <c r="N98" s="29"/>
      <c r="O98" s="29"/>
      <c r="P98" s="139">
        <f t="shared" si="19"/>
        <v>11467</v>
      </c>
      <c r="Q98" s="265"/>
      <c r="R98" s="24"/>
      <c r="S98" s="32"/>
      <c r="T98" s="25"/>
    </row>
    <row r="99" spans="1:20" ht="15.75" thickBot="1">
      <c r="A99" s="174" t="s">
        <v>246</v>
      </c>
      <c r="B99" s="205" t="s">
        <v>247</v>
      </c>
      <c r="C99" s="197">
        <v>6292</v>
      </c>
      <c r="D99" s="28"/>
      <c r="E99" s="28"/>
      <c r="F99" s="28"/>
      <c r="G99" s="28"/>
      <c r="H99" s="28"/>
      <c r="I99" s="28"/>
      <c r="J99" s="173"/>
      <c r="K99" s="28"/>
      <c r="L99" s="28"/>
      <c r="M99" s="28"/>
      <c r="N99" s="28"/>
      <c r="O99" s="29"/>
      <c r="P99" s="139">
        <f t="shared" si="19"/>
        <v>6292</v>
      </c>
      <c r="Q99" s="265"/>
      <c r="R99" s="24"/>
      <c r="S99" s="32"/>
      <c r="T99" s="25"/>
    </row>
    <row r="100" spans="1:20" s="5" customFormat="1" ht="15.75" thickBot="1">
      <c r="A100" s="71" t="s">
        <v>248</v>
      </c>
      <c r="B100" s="22" t="s">
        <v>249</v>
      </c>
      <c r="C100" s="56">
        <f aca="true" t="shared" si="20" ref="C100:P100">SUM(C101,C103:C105)</f>
        <v>278419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2700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5997</v>
      </c>
      <c r="L100" s="56">
        <f t="shared" si="20"/>
        <v>30525</v>
      </c>
      <c r="M100" s="56">
        <f t="shared" si="20"/>
        <v>300</v>
      </c>
      <c r="N100" s="56">
        <f t="shared" si="20"/>
        <v>2403</v>
      </c>
      <c r="O100" s="56">
        <f t="shared" si="20"/>
        <v>0</v>
      </c>
      <c r="P100" s="57">
        <f t="shared" si="20"/>
        <v>320344</v>
      </c>
      <c r="Q100" s="265"/>
      <c r="R100" s="24"/>
      <c r="S100" s="32"/>
      <c r="T100" s="25"/>
    </row>
    <row r="101" spans="1:20" s="5" customFormat="1" ht="15">
      <c r="A101" s="130" t="s">
        <v>250</v>
      </c>
      <c r="B101" s="131" t="s">
        <v>251</v>
      </c>
      <c r="C101" s="188">
        <f>SUM(C102:C102)</f>
        <v>13690</v>
      </c>
      <c r="D101" s="132">
        <f aca="true" t="shared" si="21" ref="D101:O101">SUM(D102:D102)</f>
        <v>0</v>
      </c>
      <c r="E101" s="132">
        <f t="shared" si="21"/>
        <v>0</v>
      </c>
      <c r="F101" s="132">
        <f t="shared" si="21"/>
        <v>0</v>
      </c>
      <c r="G101" s="132">
        <f>SUM(G102:G102)</f>
        <v>2700</v>
      </c>
      <c r="H101" s="132">
        <f t="shared" si="21"/>
        <v>0</v>
      </c>
      <c r="I101" s="132">
        <f t="shared" si="21"/>
        <v>0</v>
      </c>
      <c r="J101" s="132">
        <f t="shared" si="21"/>
        <v>0</v>
      </c>
      <c r="K101" s="132">
        <f t="shared" si="21"/>
        <v>5997</v>
      </c>
      <c r="L101" s="132">
        <f t="shared" si="21"/>
        <v>30525</v>
      </c>
      <c r="M101" s="132">
        <f t="shared" si="21"/>
        <v>300</v>
      </c>
      <c r="N101" s="132">
        <f t="shared" si="21"/>
        <v>2403</v>
      </c>
      <c r="O101" s="132">
        <f t="shared" si="21"/>
        <v>0</v>
      </c>
      <c r="P101" s="31">
        <f aca="true" t="shared" si="22" ref="P101:P160">SUM(C101:O101)</f>
        <v>55615</v>
      </c>
      <c r="Q101" s="265"/>
      <c r="R101" s="24"/>
      <c r="S101" s="190"/>
      <c r="T101" s="25"/>
    </row>
    <row r="102" spans="1:20" s="5" customFormat="1" ht="15">
      <c r="A102" s="37" t="s">
        <v>252</v>
      </c>
      <c r="B102" s="34" t="s">
        <v>253</v>
      </c>
      <c r="C102" s="187">
        <v>13690</v>
      </c>
      <c r="D102" s="132"/>
      <c r="E102" s="132"/>
      <c r="F102" s="132"/>
      <c r="G102" s="79">
        <v>2700</v>
      </c>
      <c r="H102" s="132"/>
      <c r="I102" s="132"/>
      <c r="J102" s="132"/>
      <c r="K102" s="79">
        <v>5997</v>
      </c>
      <c r="L102" s="132">
        <v>30525</v>
      </c>
      <c r="M102" s="82">
        <v>300</v>
      </c>
      <c r="N102" s="66">
        <v>2403</v>
      </c>
      <c r="O102" s="29"/>
      <c r="P102" s="139">
        <f t="shared" si="22"/>
        <v>55615</v>
      </c>
      <c r="Q102" s="265"/>
      <c r="R102" s="24"/>
      <c r="S102" s="190"/>
      <c r="T102" s="25"/>
    </row>
    <row r="103" spans="1:20" s="5" customFormat="1" ht="30">
      <c r="A103" s="179" t="s">
        <v>254</v>
      </c>
      <c r="B103" s="206" t="s">
        <v>255</v>
      </c>
      <c r="C103" s="187">
        <v>134645</v>
      </c>
      <c r="D103" s="132"/>
      <c r="E103" s="132"/>
      <c r="F103" s="132"/>
      <c r="G103" s="79"/>
      <c r="H103" s="132"/>
      <c r="I103" s="132"/>
      <c r="J103" s="132"/>
      <c r="K103" s="79"/>
      <c r="L103" s="132"/>
      <c r="M103" s="82"/>
      <c r="N103" s="66"/>
      <c r="O103" s="29"/>
      <c r="P103" s="139">
        <f t="shared" si="22"/>
        <v>134645</v>
      </c>
      <c r="Q103" s="265"/>
      <c r="R103" s="24"/>
      <c r="S103" s="190"/>
      <c r="T103" s="25"/>
    </row>
    <row r="104" spans="1:20" s="5" customFormat="1" ht="15">
      <c r="A104" s="179" t="s">
        <v>256</v>
      </c>
      <c r="B104" s="206" t="s">
        <v>257</v>
      </c>
      <c r="C104" s="186">
        <v>48740</v>
      </c>
      <c r="D104" s="28"/>
      <c r="E104" s="29"/>
      <c r="F104" s="29"/>
      <c r="G104" s="28"/>
      <c r="H104" s="28"/>
      <c r="I104" s="28"/>
      <c r="J104" s="28"/>
      <c r="K104" s="28"/>
      <c r="L104" s="28"/>
      <c r="M104" s="28"/>
      <c r="N104" s="29"/>
      <c r="O104" s="29"/>
      <c r="P104" s="139">
        <f t="shared" si="22"/>
        <v>48740</v>
      </c>
      <c r="Q104" s="265"/>
      <c r="R104" s="24"/>
      <c r="S104" s="190"/>
      <c r="T104" s="25"/>
    </row>
    <row r="105" spans="1:20" s="5" customFormat="1" ht="45.75" thickBot="1">
      <c r="A105" s="179" t="s">
        <v>258</v>
      </c>
      <c r="B105" s="206" t="s">
        <v>259</v>
      </c>
      <c r="C105" s="186">
        <v>81344</v>
      </c>
      <c r="D105" s="28"/>
      <c r="E105" s="29"/>
      <c r="F105" s="29"/>
      <c r="G105" s="28"/>
      <c r="H105" s="28"/>
      <c r="I105" s="28"/>
      <c r="J105" s="28"/>
      <c r="K105" s="28"/>
      <c r="L105" s="28"/>
      <c r="M105" s="28"/>
      <c r="N105" s="29"/>
      <c r="O105" s="29"/>
      <c r="P105" s="139">
        <f t="shared" si="22"/>
        <v>81344</v>
      </c>
      <c r="Q105" s="265"/>
      <c r="R105" s="24"/>
      <c r="S105" s="190"/>
      <c r="T105" s="25"/>
    </row>
    <row r="106" spans="1:20" ht="15.75" thickBot="1">
      <c r="A106" s="71" t="s">
        <v>260</v>
      </c>
      <c r="B106" s="22" t="s">
        <v>261</v>
      </c>
      <c r="C106" s="56">
        <f>C107+C112+C152+C155</f>
        <v>6661547</v>
      </c>
      <c r="D106" s="56">
        <f aca="true" t="shared" si="23" ref="D106:O106">D107+D112+D152+D155</f>
        <v>415065</v>
      </c>
      <c r="E106" s="56">
        <f t="shared" si="23"/>
        <v>2111130</v>
      </c>
      <c r="F106" s="56">
        <f t="shared" si="23"/>
        <v>0</v>
      </c>
      <c r="G106" s="56">
        <f t="shared" si="23"/>
        <v>253715</v>
      </c>
      <c r="H106" s="56">
        <f t="shared" si="23"/>
        <v>132691</v>
      </c>
      <c r="I106" s="56">
        <f t="shared" si="23"/>
        <v>147350</v>
      </c>
      <c r="J106" s="56">
        <f t="shared" si="23"/>
        <v>232609</v>
      </c>
      <c r="K106" s="56">
        <f t="shared" si="23"/>
        <v>48483</v>
      </c>
      <c r="L106" s="56">
        <f t="shared" si="23"/>
        <v>48960</v>
      </c>
      <c r="M106" s="56">
        <f t="shared" si="23"/>
        <v>107944</v>
      </c>
      <c r="N106" s="56">
        <f t="shared" si="23"/>
        <v>113112</v>
      </c>
      <c r="O106" s="56">
        <f t="shared" si="23"/>
        <v>0</v>
      </c>
      <c r="P106" s="57">
        <f t="shared" si="22"/>
        <v>10272606</v>
      </c>
      <c r="Q106" s="265"/>
      <c r="R106" s="24"/>
      <c r="S106" s="32"/>
      <c r="T106" s="25"/>
    </row>
    <row r="107" spans="1:20" s="5" customFormat="1" ht="30" customHeight="1">
      <c r="A107" s="130" t="s">
        <v>262</v>
      </c>
      <c r="B107" s="131" t="s">
        <v>263</v>
      </c>
      <c r="C107" s="132">
        <f>SUM(C108:C111)</f>
        <v>1090082</v>
      </c>
      <c r="D107" s="132">
        <f aca="true" t="shared" si="24" ref="D107:O107">SUM(D108:D111)</f>
        <v>415065</v>
      </c>
      <c r="E107" s="132">
        <f t="shared" si="24"/>
        <v>0</v>
      </c>
      <c r="F107" s="132">
        <f t="shared" si="24"/>
        <v>0</v>
      </c>
      <c r="G107" s="132">
        <f t="shared" si="24"/>
        <v>2500</v>
      </c>
      <c r="H107" s="132">
        <f t="shared" si="24"/>
        <v>0</v>
      </c>
      <c r="I107" s="132">
        <f t="shared" si="24"/>
        <v>0</v>
      </c>
      <c r="J107" s="132">
        <f t="shared" si="24"/>
        <v>5084</v>
      </c>
      <c r="K107" s="132">
        <f t="shared" si="24"/>
        <v>0</v>
      </c>
      <c r="L107" s="132">
        <f t="shared" si="24"/>
        <v>0</v>
      </c>
      <c r="M107" s="132">
        <f t="shared" si="24"/>
        <v>14385</v>
      </c>
      <c r="N107" s="132">
        <f t="shared" si="24"/>
        <v>0</v>
      </c>
      <c r="O107" s="132">
        <f t="shared" si="24"/>
        <v>0</v>
      </c>
      <c r="P107" s="135">
        <f t="shared" si="22"/>
        <v>1527116</v>
      </c>
      <c r="Q107" s="265"/>
      <c r="R107" s="24"/>
      <c r="S107" s="190"/>
      <c r="T107" s="25"/>
    </row>
    <row r="108" spans="1:20" ht="15">
      <c r="A108" s="37" t="s">
        <v>264</v>
      </c>
      <c r="B108" s="34" t="s">
        <v>265</v>
      </c>
      <c r="C108" s="155">
        <f>159448+21000</f>
        <v>180448</v>
      </c>
      <c r="D108" s="28"/>
      <c r="E108" s="29"/>
      <c r="F108" s="29"/>
      <c r="G108" s="28">
        <v>2500</v>
      </c>
      <c r="H108" s="28"/>
      <c r="I108" s="28"/>
      <c r="J108" s="28">
        <v>5084</v>
      </c>
      <c r="K108" s="28"/>
      <c r="L108" s="28"/>
      <c r="M108" s="28">
        <v>14385</v>
      </c>
      <c r="N108" s="29"/>
      <c r="O108" s="29"/>
      <c r="P108" s="139">
        <f>SUM(C108:O108)</f>
        <v>202417</v>
      </c>
      <c r="Q108" s="265"/>
      <c r="R108" s="24"/>
      <c r="S108" s="25"/>
      <c r="T108" s="25"/>
    </row>
    <row r="109" spans="1:20" ht="30">
      <c r="A109" s="37" t="s">
        <v>266</v>
      </c>
      <c r="B109" s="34" t="s">
        <v>631</v>
      </c>
      <c r="C109" s="155">
        <f>527727+40000+247600</f>
        <v>815327</v>
      </c>
      <c r="D109" s="28"/>
      <c r="E109" s="29"/>
      <c r="F109" s="29"/>
      <c r="G109" s="28"/>
      <c r="H109" s="28"/>
      <c r="I109" s="28"/>
      <c r="J109" s="28"/>
      <c r="K109" s="28"/>
      <c r="L109" s="28"/>
      <c r="M109" s="28"/>
      <c r="N109" s="29"/>
      <c r="O109" s="29"/>
      <c r="P109" s="139">
        <f t="shared" si="22"/>
        <v>815327</v>
      </c>
      <c r="Q109" s="265"/>
      <c r="R109" s="24"/>
      <c r="S109" s="32"/>
      <c r="T109" s="25"/>
    </row>
    <row r="110" spans="1:20" ht="15">
      <c r="A110" s="37" t="s">
        <v>629</v>
      </c>
      <c r="B110" s="34" t="s">
        <v>617</v>
      </c>
      <c r="C110" s="155">
        <v>94307</v>
      </c>
      <c r="D110" s="29"/>
      <c r="E110" s="29"/>
      <c r="F110" s="29"/>
      <c r="G110" s="28"/>
      <c r="H110" s="29"/>
      <c r="I110" s="29"/>
      <c r="J110" s="29"/>
      <c r="K110" s="29"/>
      <c r="L110" s="29"/>
      <c r="M110" s="29"/>
      <c r="N110" s="29"/>
      <c r="O110" s="29"/>
      <c r="P110" s="139">
        <f t="shared" si="22"/>
        <v>94307</v>
      </c>
      <c r="Q110" s="265"/>
      <c r="R110" s="24"/>
      <c r="S110" s="32"/>
      <c r="T110" s="25"/>
    </row>
    <row r="111" spans="1:20" ht="15">
      <c r="A111" s="37" t="s">
        <v>267</v>
      </c>
      <c r="B111" s="34" t="s">
        <v>268</v>
      </c>
      <c r="C111" s="29"/>
      <c r="D111" s="29">
        <v>415065</v>
      </c>
      <c r="E111" s="29"/>
      <c r="F111" s="29"/>
      <c r="G111" s="28"/>
      <c r="H111" s="29"/>
      <c r="I111" s="29"/>
      <c r="J111" s="29"/>
      <c r="K111" s="29"/>
      <c r="L111" s="29"/>
      <c r="M111" s="29"/>
      <c r="N111" s="29"/>
      <c r="O111" s="29"/>
      <c r="P111" s="139">
        <f t="shared" si="22"/>
        <v>415065</v>
      </c>
      <c r="Q111" s="265"/>
      <c r="R111" s="24"/>
      <c r="S111" s="32"/>
      <c r="T111" s="25"/>
    </row>
    <row r="112" spans="1:20" ht="15">
      <c r="A112" s="140" t="s">
        <v>269</v>
      </c>
      <c r="B112" s="142" t="s">
        <v>270</v>
      </c>
      <c r="C112" s="85">
        <f>SUM(C113+C123+C129+C140)</f>
        <v>5318070</v>
      </c>
      <c r="D112" s="85">
        <f aca="true" t="shared" si="25" ref="D112:O112">SUM(D113+D123+D129+D140)</f>
        <v>0</v>
      </c>
      <c r="E112" s="85">
        <f t="shared" si="25"/>
        <v>2111130</v>
      </c>
      <c r="F112" s="85">
        <f t="shared" si="25"/>
        <v>0</v>
      </c>
      <c r="G112" s="85">
        <f t="shared" si="25"/>
        <v>251215</v>
      </c>
      <c r="H112" s="85">
        <f t="shared" si="25"/>
        <v>132691</v>
      </c>
      <c r="I112" s="85">
        <f t="shared" si="25"/>
        <v>147350</v>
      </c>
      <c r="J112" s="85">
        <f t="shared" si="25"/>
        <v>227525</v>
      </c>
      <c r="K112" s="85">
        <f t="shared" si="25"/>
        <v>48483</v>
      </c>
      <c r="L112" s="85">
        <f t="shared" si="25"/>
        <v>48960</v>
      </c>
      <c r="M112" s="85">
        <f t="shared" si="25"/>
        <v>93559</v>
      </c>
      <c r="N112" s="85">
        <f t="shared" si="25"/>
        <v>113112</v>
      </c>
      <c r="O112" s="85">
        <f t="shared" si="25"/>
        <v>0</v>
      </c>
      <c r="P112" s="139">
        <f t="shared" si="22"/>
        <v>8492095</v>
      </c>
      <c r="Q112" s="265"/>
      <c r="R112" s="24"/>
      <c r="S112" s="32"/>
      <c r="T112" s="25"/>
    </row>
    <row r="113" spans="1:20" ht="15">
      <c r="A113" s="207" t="s">
        <v>271</v>
      </c>
      <c r="B113" s="34" t="s">
        <v>272</v>
      </c>
      <c r="C113" s="29">
        <f>SUM(C114:C122)</f>
        <v>1196488</v>
      </c>
      <c r="D113" s="29">
        <f>SUM(D114:D122)</f>
        <v>0</v>
      </c>
      <c r="E113" s="29">
        <f>SUM(E114:E122)</f>
        <v>0</v>
      </c>
      <c r="F113" s="29">
        <f>SUM(F114:F122)</f>
        <v>0</v>
      </c>
      <c r="G113" s="29">
        <f aca="true" t="shared" si="26" ref="G113:O113">SUM(G114:G122)</f>
        <v>38608</v>
      </c>
      <c r="H113" s="29">
        <f t="shared" si="26"/>
        <v>36598</v>
      </c>
      <c r="I113" s="29">
        <f t="shared" si="26"/>
        <v>17870</v>
      </c>
      <c r="J113" s="29">
        <f t="shared" si="26"/>
        <v>38998</v>
      </c>
      <c r="K113" s="29">
        <f t="shared" si="26"/>
        <v>19597</v>
      </c>
      <c r="L113" s="29">
        <f t="shared" si="26"/>
        <v>22820</v>
      </c>
      <c r="M113" s="29">
        <f t="shared" si="26"/>
        <v>20315</v>
      </c>
      <c r="N113" s="29">
        <f t="shared" si="26"/>
        <v>18857</v>
      </c>
      <c r="O113" s="29">
        <f t="shared" si="26"/>
        <v>0</v>
      </c>
      <c r="P113" s="139">
        <f t="shared" si="22"/>
        <v>1410151</v>
      </c>
      <c r="Q113" s="265"/>
      <c r="R113" s="24"/>
      <c r="S113" s="32"/>
      <c r="T113" s="25"/>
    </row>
    <row r="114" spans="1:20" ht="15">
      <c r="A114" s="198" t="s">
        <v>273</v>
      </c>
      <c r="B114" s="199" t="s">
        <v>274</v>
      </c>
      <c r="C114" s="29">
        <v>669570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139">
        <f t="shared" si="22"/>
        <v>669570</v>
      </c>
      <c r="Q114" s="265"/>
      <c r="R114" s="24"/>
      <c r="S114" s="32"/>
      <c r="T114" s="25"/>
    </row>
    <row r="115" spans="1:20" ht="15">
      <c r="A115" s="198" t="s">
        <v>275</v>
      </c>
      <c r="B115" s="199" t="s">
        <v>276</v>
      </c>
      <c r="C115" s="172"/>
      <c r="D115" s="29"/>
      <c r="E115" s="29"/>
      <c r="F115" s="29"/>
      <c r="G115" s="41">
        <v>38608</v>
      </c>
      <c r="H115" s="28">
        <v>36598</v>
      </c>
      <c r="I115" s="28">
        <v>17870</v>
      </c>
      <c r="J115" s="28">
        <v>38998</v>
      </c>
      <c r="K115" s="28">
        <v>19597</v>
      </c>
      <c r="L115" s="28">
        <v>22820</v>
      </c>
      <c r="M115" s="89">
        <v>20315</v>
      </c>
      <c r="N115" s="28">
        <v>18857</v>
      </c>
      <c r="O115" s="29"/>
      <c r="P115" s="139">
        <f t="shared" si="22"/>
        <v>213663</v>
      </c>
      <c r="Q115" s="265"/>
      <c r="R115" s="24"/>
      <c r="S115" s="32"/>
      <c r="T115" s="25"/>
    </row>
    <row r="116" spans="1:20" ht="15">
      <c r="A116" s="198" t="s">
        <v>277</v>
      </c>
      <c r="B116" s="34" t="s">
        <v>278</v>
      </c>
      <c r="C116" s="29">
        <v>124901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139">
        <f t="shared" si="22"/>
        <v>124901</v>
      </c>
      <c r="Q116" s="265"/>
      <c r="R116" s="24"/>
      <c r="S116" s="32"/>
      <c r="T116" s="25"/>
    </row>
    <row r="117" spans="1:20" ht="15">
      <c r="A117" s="198" t="s">
        <v>279</v>
      </c>
      <c r="B117" s="34" t="s">
        <v>280</v>
      </c>
      <c r="C117" s="29">
        <v>28779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139">
        <f t="shared" si="22"/>
        <v>28779</v>
      </c>
      <c r="Q117" s="265"/>
      <c r="R117" s="24"/>
      <c r="S117" s="32"/>
      <c r="T117" s="25"/>
    </row>
    <row r="118" spans="1:20" ht="30">
      <c r="A118" s="198" t="s">
        <v>281</v>
      </c>
      <c r="B118" s="34" t="s">
        <v>282</v>
      </c>
      <c r="C118" s="29">
        <v>132318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39">
        <f t="shared" si="22"/>
        <v>132318</v>
      </c>
      <c r="Q118" s="265"/>
      <c r="R118" s="24"/>
      <c r="S118" s="32"/>
      <c r="T118" s="25"/>
    </row>
    <row r="119" spans="1:20" ht="15">
      <c r="A119" s="198" t="s">
        <v>283</v>
      </c>
      <c r="B119" s="34" t="s">
        <v>284</v>
      </c>
      <c r="C119" s="29">
        <v>28048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39">
        <f t="shared" si="22"/>
        <v>28048</v>
      </c>
      <c r="Q119" s="265"/>
      <c r="R119" s="24"/>
      <c r="S119" s="32"/>
      <c r="T119" s="25"/>
    </row>
    <row r="120" spans="1:20" ht="15">
      <c r="A120" s="198" t="s">
        <v>285</v>
      </c>
      <c r="B120" s="34" t="s">
        <v>286</v>
      </c>
      <c r="C120" s="155">
        <v>23336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139">
        <f t="shared" si="22"/>
        <v>23336</v>
      </c>
      <c r="Q120" s="265"/>
      <c r="R120" s="24"/>
      <c r="S120" s="32"/>
      <c r="T120" s="25"/>
    </row>
    <row r="121" spans="1:20" ht="15">
      <c r="A121" s="198" t="s">
        <v>287</v>
      </c>
      <c r="B121" s="34" t="s">
        <v>288</v>
      </c>
      <c r="C121" s="155">
        <v>41418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139">
        <f t="shared" si="22"/>
        <v>41418</v>
      </c>
      <c r="Q121" s="265"/>
      <c r="R121" s="24"/>
      <c r="S121" s="32"/>
      <c r="T121" s="25"/>
    </row>
    <row r="122" spans="1:20" ht="15">
      <c r="A122" s="198" t="s">
        <v>289</v>
      </c>
      <c r="B122" s="34" t="s">
        <v>290</v>
      </c>
      <c r="C122" s="155">
        <v>148118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139">
        <f t="shared" si="22"/>
        <v>148118</v>
      </c>
      <c r="Q122" s="265"/>
      <c r="R122" s="24"/>
      <c r="S122" s="32"/>
      <c r="T122" s="25"/>
    </row>
    <row r="123" spans="1:20" ht="17.25" customHeight="1">
      <c r="A123" s="33" t="s">
        <v>291</v>
      </c>
      <c r="B123" s="34" t="s">
        <v>292</v>
      </c>
      <c r="C123" s="85">
        <f>SUM(C124:C128)</f>
        <v>419149</v>
      </c>
      <c r="D123" s="29">
        <f aca="true" t="shared" si="27" ref="D123:O123">SUM(D124:D128)</f>
        <v>0</v>
      </c>
      <c r="E123" s="29">
        <f t="shared" si="27"/>
        <v>0</v>
      </c>
      <c r="F123" s="29">
        <f t="shared" si="27"/>
        <v>0</v>
      </c>
      <c r="G123" s="29">
        <f t="shared" si="27"/>
        <v>0</v>
      </c>
      <c r="H123" s="29">
        <f t="shared" si="27"/>
        <v>0</v>
      </c>
      <c r="I123" s="29">
        <f t="shared" si="27"/>
        <v>0</v>
      </c>
      <c r="J123" s="29">
        <f t="shared" si="27"/>
        <v>0</v>
      </c>
      <c r="K123" s="29">
        <f t="shared" si="27"/>
        <v>0</v>
      </c>
      <c r="L123" s="29">
        <f t="shared" si="27"/>
        <v>0</v>
      </c>
      <c r="M123" s="29">
        <f t="shared" si="27"/>
        <v>20291</v>
      </c>
      <c r="N123" s="29">
        <f t="shared" si="27"/>
        <v>0</v>
      </c>
      <c r="O123" s="29">
        <f t="shared" si="27"/>
        <v>0</v>
      </c>
      <c r="P123" s="139">
        <f t="shared" si="22"/>
        <v>439440</v>
      </c>
      <c r="Q123" s="265"/>
      <c r="R123" s="24"/>
      <c r="S123" s="32"/>
      <c r="T123" s="25"/>
    </row>
    <row r="124" spans="1:20" ht="15">
      <c r="A124" s="37" t="s">
        <v>293</v>
      </c>
      <c r="B124" s="34" t="s">
        <v>294</v>
      </c>
      <c r="C124" s="29">
        <v>243327</v>
      </c>
      <c r="D124" s="28"/>
      <c r="E124" s="29"/>
      <c r="F124" s="29"/>
      <c r="G124" s="28"/>
      <c r="H124" s="28"/>
      <c r="I124" s="28"/>
      <c r="J124" s="28"/>
      <c r="K124" s="28"/>
      <c r="L124" s="28"/>
      <c r="M124" s="28"/>
      <c r="N124" s="42"/>
      <c r="O124" s="29"/>
      <c r="P124" s="139">
        <f t="shared" si="22"/>
        <v>243327</v>
      </c>
      <c r="Q124" s="265"/>
      <c r="R124" s="24"/>
      <c r="S124" s="32"/>
      <c r="T124" s="25"/>
    </row>
    <row r="125" spans="1:20" ht="15">
      <c r="A125" s="37" t="s">
        <v>295</v>
      </c>
      <c r="B125" s="162" t="s">
        <v>296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8">
        <v>20291</v>
      </c>
      <c r="N125" s="42"/>
      <c r="O125" s="29"/>
      <c r="P125" s="139">
        <f t="shared" si="22"/>
        <v>20291</v>
      </c>
      <c r="Q125" s="265"/>
      <c r="R125" s="24"/>
      <c r="S125" s="32"/>
      <c r="T125" s="25"/>
    </row>
    <row r="126" spans="1:20" ht="15">
      <c r="A126" s="37" t="s">
        <v>297</v>
      </c>
      <c r="B126" s="162" t="s">
        <v>298</v>
      </c>
      <c r="C126" s="29">
        <v>127275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8"/>
      <c r="N126" s="42"/>
      <c r="O126" s="29"/>
      <c r="P126" s="139">
        <f t="shared" si="22"/>
        <v>127275</v>
      </c>
      <c r="Q126" s="265"/>
      <c r="R126" s="24"/>
      <c r="S126" s="32"/>
      <c r="T126" s="25"/>
    </row>
    <row r="127" spans="1:20" ht="15">
      <c r="A127" s="198" t="s">
        <v>299</v>
      </c>
      <c r="B127" s="162" t="s">
        <v>300</v>
      </c>
      <c r="C127" s="29">
        <v>22446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8"/>
      <c r="N127" s="42"/>
      <c r="O127" s="29"/>
      <c r="P127" s="139">
        <f t="shared" si="22"/>
        <v>22446</v>
      </c>
      <c r="Q127" s="265"/>
      <c r="R127" s="24"/>
      <c r="S127" s="32"/>
      <c r="T127" s="25"/>
    </row>
    <row r="128" spans="1:20" ht="15">
      <c r="A128" s="198" t="s">
        <v>301</v>
      </c>
      <c r="B128" s="199" t="s">
        <v>302</v>
      </c>
      <c r="C128" s="155">
        <v>26101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42"/>
      <c r="O128" s="29"/>
      <c r="P128" s="139">
        <f t="shared" si="22"/>
        <v>26101</v>
      </c>
      <c r="Q128" s="265"/>
      <c r="R128" s="24"/>
      <c r="S128" s="32"/>
      <c r="T128" s="25"/>
    </row>
    <row r="129" spans="1:20" ht="15">
      <c r="A129" s="33" t="s">
        <v>303</v>
      </c>
      <c r="B129" s="34" t="s">
        <v>304</v>
      </c>
      <c r="C129" s="85">
        <f>SUM(C130:C139)</f>
        <v>2001151</v>
      </c>
      <c r="D129" s="29">
        <f aca="true" t="shared" si="28" ref="D129:O129">SUM(D130:D139)</f>
        <v>0</v>
      </c>
      <c r="E129" s="29">
        <f t="shared" si="28"/>
        <v>2111130</v>
      </c>
      <c r="F129" s="29">
        <f t="shared" si="28"/>
        <v>0</v>
      </c>
      <c r="G129" s="29">
        <f t="shared" si="28"/>
        <v>212607</v>
      </c>
      <c r="H129" s="29">
        <f t="shared" si="28"/>
        <v>96093</v>
      </c>
      <c r="I129" s="29">
        <f t="shared" si="28"/>
        <v>129480</v>
      </c>
      <c r="J129" s="29">
        <f t="shared" si="28"/>
        <v>188527</v>
      </c>
      <c r="K129" s="29">
        <f t="shared" si="28"/>
        <v>28886</v>
      </c>
      <c r="L129" s="29">
        <f t="shared" si="28"/>
        <v>26140</v>
      </c>
      <c r="M129" s="29">
        <f t="shared" si="28"/>
        <v>52953</v>
      </c>
      <c r="N129" s="29">
        <f t="shared" si="28"/>
        <v>86755</v>
      </c>
      <c r="O129" s="29">
        <f t="shared" si="28"/>
        <v>0</v>
      </c>
      <c r="P129" s="139">
        <f t="shared" si="22"/>
        <v>4933722</v>
      </c>
      <c r="Q129" s="265"/>
      <c r="R129" s="24"/>
      <c r="S129" s="32"/>
      <c r="T129" s="25"/>
    </row>
    <row r="130" spans="1:20" ht="15">
      <c r="A130" s="37" t="s">
        <v>305</v>
      </c>
      <c r="B130" s="34" t="s">
        <v>306</v>
      </c>
      <c r="C130" s="29"/>
      <c r="D130" s="28"/>
      <c r="E130" s="29">
        <v>495364</v>
      </c>
      <c r="F130" s="29"/>
      <c r="G130" s="41">
        <v>212607</v>
      </c>
      <c r="H130" s="28">
        <v>96093</v>
      </c>
      <c r="I130" s="28">
        <v>106044</v>
      </c>
      <c r="J130" s="28">
        <v>188527</v>
      </c>
      <c r="K130" s="28">
        <v>28886</v>
      </c>
      <c r="L130" s="28">
        <v>26140</v>
      </c>
      <c r="M130" s="89">
        <v>52953</v>
      </c>
      <c r="N130" s="42">
        <v>86755</v>
      </c>
      <c r="O130" s="29"/>
      <c r="P130" s="139">
        <f t="shared" si="22"/>
        <v>1293369</v>
      </c>
      <c r="Q130" s="265"/>
      <c r="R130" s="24"/>
      <c r="S130" s="32"/>
      <c r="T130" s="25"/>
    </row>
    <row r="131" spans="1:20" ht="15">
      <c r="A131" s="37" t="s">
        <v>307</v>
      </c>
      <c r="B131" s="34" t="s">
        <v>308</v>
      </c>
      <c r="C131" s="29"/>
      <c r="D131" s="28"/>
      <c r="E131" s="155">
        <f>1615357+409</f>
        <v>1615766</v>
      </c>
      <c r="F131" s="29"/>
      <c r="G131" s="28"/>
      <c r="H131" s="28"/>
      <c r="I131" s="28"/>
      <c r="J131" s="28"/>
      <c r="K131" s="28"/>
      <c r="L131" s="28"/>
      <c r="M131" s="28"/>
      <c r="N131" s="29"/>
      <c r="O131" s="29"/>
      <c r="P131" s="139">
        <f t="shared" si="22"/>
        <v>1615766</v>
      </c>
      <c r="Q131" s="265"/>
      <c r="R131" s="24"/>
      <c r="S131" s="32"/>
      <c r="T131" s="25"/>
    </row>
    <row r="132" spans="1:20" ht="15">
      <c r="A132" s="37" t="s">
        <v>309</v>
      </c>
      <c r="B132" s="34" t="s">
        <v>310</v>
      </c>
      <c r="C132" s="29"/>
      <c r="D132" s="28"/>
      <c r="E132" s="29"/>
      <c r="F132" s="29"/>
      <c r="G132" s="208"/>
      <c r="H132" s="28"/>
      <c r="I132" s="28">
        <v>23436</v>
      </c>
      <c r="J132" s="28"/>
      <c r="K132" s="28"/>
      <c r="L132" s="28"/>
      <c r="M132" s="28"/>
      <c r="N132" s="42"/>
      <c r="O132" s="29"/>
      <c r="P132" s="139">
        <f t="shared" si="22"/>
        <v>23436</v>
      </c>
      <c r="Q132" s="265"/>
      <c r="R132" s="24"/>
      <c r="S132" s="32"/>
      <c r="T132" s="25"/>
    </row>
    <row r="133" spans="1:20" ht="15">
      <c r="A133" s="198" t="s">
        <v>311</v>
      </c>
      <c r="B133" s="34" t="s">
        <v>312</v>
      </c>
      <c r="C133" s="155">
        <f>354419+3272</f>
        <v>357691</v>
      </c>
      <c r="D133" s="28"/>
      <c r="E133" s="29"/>
      <c r="F133" s="29"/>
      <c r="G133" s="41"/>
      <c r="H133" s="28"/>
      <c r="I133" s="28"/>
      <c r="J133" s="28"/>
      <c r="K133" s="28"/>
      <c r="L133" s="28"/>
      <c r="M133" s="89"/>
      <c r="N133" s="42"/>
      <c r="O133" s="29"/>
      <c r="P133" s="139">
        <f t="shared" si="22"/>
        <v>357691</v>
      </c>
      <c r="Q133" s="265"/>
      <c r="R133" s="24"/>
      <c r="S133" s="32"/>
      <c r="T133" s="25"/>
    </row>
    <row r="134" spans="1:20" ht="15">
      <c r="A134" s="198" t="s">
        <v>313</v>
      </c>
      <c r="B134" s="34" t="s">
        <v>314</v>
      </c>
      <c r="C134" s="29">
        <f>186047+2863</f>
        <v>188910</v>
      </c>
      <c r="D134" s="28"/>
      <c r="E134" s="29"/>
      <c r="F134" s="29"/>
      <c r="G134" s="41"/>
      <c r="H134" s="28"/>
      <c r="I134" s="28"/>
      <c r="J134" s="28"/>
      <c r="K134" s="28"/>
      <c r="L134" s="28"/>
      <c r="M134" s="89"/>
      <c r="N134" s="42"/>
      <c r="O134" s="29"/>
      <c r="P134" s="139">
        <f t="shared" si="22"/>
        <v>188910</v>
      </c>
      <c r="Q134" s="265"/>
      <c r="R134" s="24"/>
      <c r="S134" s="32"/>
      <c r="T134" s="25"/>
    </row>
    <row r="135" spans="1:20" ht="15">
      <c r="A135" s="198" t="s">
        <v>315</v>
      </c>
      <c r="B135" s="199" t="s">
        <v>316</v>
      </c>
      <c r="C135" s="28">
        <f>896116+11452</f>
        <v>907568</v>
      </c>
      <c r="D135" s="28"/>
      <c r="E135" s="29"/>
      <c r="F135" s="29"/>
      <c r="G135" s="41"/>
      <c r="H135" s="28"/>
      <c r="I135" s="28"/>
      <c r="J135" s="28"/>
      <c r="K135" s="28"/>
      <c r="L135" s="28"/>
      <c r="M135" s="89"/>
      <c r="N135" s="42"/>
      <c r="O135" s="29"/>
      <c r="P135" s="139">
        <f t="shared" si="22"/>
        <v>907568</v>
      </c>
      <c r="Q135" s="265"/>
      <c r="R135" s="24"/>
      <c r="S135" s="32"/>
      <c r="T135" s="25"/>
    </row>
    <row r="136" spans="1:20" ht="15">
      <c r="A136" s="198" t="s">
        <v>317</v>
      </c>
      <c r="B136" s="199" t="s">
        <v>318</v>
      </c>
      <c r="C136" s="28">
        <f>254224+2454</f>
        <v>256678</v>
      </c>
      <c r="D136" s="28"/>
      <c r="E136" s="29"/>
      <c r="F136" s="29"/>
      <c r="G136" s="41"/>
      <c r="H136" s="28"/>
      <c r="I136" s="28"/>
      <c r="J136" s="28"/>
      <c r="K136" s="28"/>
      <c r="L136" s="28"/>
      <c r="M136" s="89"/>
      <c r="N136" s="42"/>
      <c r="O136" s="29"/>
      <c r="P136" s="139">
        <f t="shared" si="22"/>
        <v>256678</v>
      </c>
      <c r="Q136" s="265"/>
      <c r="R136" s="24"/>
      <c r="S136" s="32"/>
      <c r="T136" s="202"/>
    </row>
    <row r="137" spans="1:20" ht="15">
      <c r="A137" s="198" t="s">
        <v>319</v>
      </c>
      <c r="B137" s="199" t="s">
        <v>320</v>
      </c>
      <c r="C137" s="28">
        <f>140499+1636</f>
        <v>142135</v>
      </c>
      <c r="D137" s="28"/>
      <c r="E137" s="29"/>
      <c r="F137" s="29"/>
      <c r="G137" s="41"/>
      <c r="H137" s="28"/>
      <c r="I137" s="28"/>
      <c r="J137" s="28"/>
      <c r="K137" s="28"/>
      <c r="L137" s="28"/>
      <c r="M137" s="89"/>
      <c r="N137" s="42"/>
      <c r="O137" s="29"/>
      <c r="P137" s="139">
        <f t="shared" si="22"/>
        <v>142135</v>
      </c>
      <c r="Q137" s="265"/>
      <c r="R137" s="24"/>
      <c r="S137" s="32"/>
      <c r="T137" s="25"/>
    </row>
    <row r="138" spans="1:20" ht="15">
      <c r="A138" s="198" t="s">
        <v>321</v>
      </c>
      <c r="B138" s="199" t="s">
        <v>322</v>
      </c>
      <c r="C138" s="28">
        <v>56918</v>
      </c>
      <c r="D138" s="28"/>
      <c r="E138" s="29"/>
      <c r="F138" s="29"/>
      <c r="G138" s="41"/>
      <c r="H138" s="28"/>
      <c r="I138" s="28"/>
      <c r="J138" s="28"/>
      <c r="K138" s="28"/>
      <c r="L138" s="28"/>
      <c r="M138" s="89"/>
      <c r="N138" s="42"/>
      <c r="O138" s="29"/>
      <c r="P138" s="139">
        <f t="shared" si="22"/>
        <v>56918</v>
      </c>
      <c r="Q138" s="265"/>
      <c r="R138" s="24"/>
      <c r="S138" s="32"/>
      <c r="T138" s="25"/>
    </row>
    <row r="139" spans="1:20" ht="15">
      <c r="A139" s="198" t="s">
        <v>323</v>
      </c>
      <c r="B139" s="199" t="s">
        <v>324</v>
      </c>
      <c r="C139" s="274">
        <f>90024+1227</f>
        <v>91251</v>
      </c>
      <c r="D139" s="28"/>
      <c r="E139" s="29"/>
      <c r="F139" s="29"/>
      <c r="G139" s="41"/>
      <c r="H139" s="28"/>
      <c r="I139" s="28"/>
      <c r="J139" s="28"/>
      <c r="K139" s="28"/>
      <c r="L139" s="28"/>
      <c r="M139" s="89"/>
      <c r="N139" s="42"/>
      <c r="O139" s="29"/>
      <c r="P139" s="139">
        <f t="shared" si="22"/>
        <v>91251</v>
      </c>
      <c r="Q139" s="265"/>
      <c r="R139" s="24"/>
      <c r="S139" s="32"/>
      <c r="T139" s="25"/>
    </row>
    <row r="140" spans="1:20" ht="15">
      <c r="A140" s="140" t="s">
        <v>325</v>
      </c>
      <c r="B140" s="81" t="s">
        <v>326</v>
      </c>
      <c r="C140" s="82">
        <f aca="true" t="shared" si="29" ref="C140:O140">SUM(C141:C151)</f>
        <v>1701282</v>
      </c>
      <c r="D140" s="82">
        <f t="shared" si="29"/>
        <v>0</v>
      </c>
      <c r="E140" s="82">
        <f t="shared" si="29"/>
        <v>0</v>
      </c>
      <c r="F140" s="82">
        <f t="shared" si="29"/>
        <v>0</v>
      </c>
      <c r="G140" s="82">
        <f t="shared" si="29"/>
        <v>0</v>
      </c>
      <c r="H140" s="82">
        <f t="shared" si="29"/>
        <v>0</v>
      </c>
      <c r="I140" s="82">
        <f t="shared" si="29"/>
        <v>0</v>
      </c>
      <c r="J140" s="82">
        <f t="shared" si="29"/>
        <v>0</v>
      </c>
      <c r="K140" s="82">
        <f t="shared" si="29"/>
        <v>0</v>
      </c>
      <c r="L140" s="82">
        <f t="shared" si="29"/>
        <v>0</v>
      </c>
      <c r="M140" s="82">
        <f t="shared" si="29"/>
        <v>0</v>
      </c>
      <c r="N140" s="82">
        <f t="shared" si="29"/>
        <v>7500</v>
      </c>
      <c r="O140" s="82">
        <f t="shared" si="29"/>
        <v>0</v>
      </c>
      <c r="P140" s="139">
        <f>SUM(C140:O140)</f>
        <v>1708782</v>
      </c>
      <c r="Q140" s="265"/>
      <c r="R140" s="24"/>
      <c r="S140" s="32"/>
      <c r="T140" s="25"/>
    </row>
    <row r="141" spans="1:20" ht="15">
      <c r="A141" s="37" t="s">
        <v>327</v>
      </c>
      <c r="B141" s="162" t="s">
        <v>328</v>
      </c>
      <c r="C141" s="155">
        <v>207937</v>
      </c>
      <c r="D141" s="28"/>
      <c r="E141" s="29"/>
      <c r="F141" s="29"/>
      <c r="G141" s="28"/>
      <c r="H141" s="28"/>
      <c r="I141" s="28"/>
      <c r="J141" s="28"/>
      <c r="K141" s="28"/>
      <c r="L141" s="28"/>
      <c r="M141" s="28"/>
      <c r="N141" s="29">
        <v>7500</v>
      </c>
      <c r="O141" s="29"/>
      <c r="P141" s="139">
        <f t="shared" si="22"/>
        <v>215437</v>
      </c>
      <c r="Q141" s="265"/>
      <c r="R141" s="24"/>
      <c r="S141" s="32"/>
      <c r="T141" s="25"/>
    </row>
    <row r="142" spans="1:20" ht="15">
      <c r="A142" s="37" t="s">
        <v>329</v>
      </c>
      <c r="B142" s="162" t="s">
        <v>330</v>
      </c>
      <c r="C142" s="155">
        <f>344896</f>
        <v>344896</v>
      </c>
      <c r="D142" s="28"/>
      <c r="E142" s="29"/>
      <c r="F142" s="29"/>
      <c r="G142" s="28"/>
      <c r="H142" s="28"/>
      <c r="I142" s="28"/>
      <c r="J142" s="28"/>
      <c r="K142" s="28"/>
      <c r="L142" s="28"/>
      <c r="M142" s="28"/>
      <c r="N142" s="29"/>
      <c r="O142" s="29"/>
      <c r="P142" s="139">
        <f t="shared" si="22"/>
        <v>344896</v>
      </c>
      <c r="Q142" s="265"/>
      <c r="R142" s="24"/>
      <c r="S142" s="32"/>
      <c r="T142" s="25"/>
    </row>
    <row r="143" spans="1:20" ht="15">
      <c r="A143" s="168" t="s">
        <v>610</v>
      </c>
      <c r="B143" s="162" t="s">
        <v>611</v>
      </c>
      <c r="C143" s="155">
        <f>184237+201510</f>
        <v>385747</v>
      </c>
      <c r="D143" s="28"/>
      <c r="E143" s="29"/>
      <c r="F143" s="29"/>
      <c r="G143" s="28"/>
      <c r="H143" s="28"/>
      <c r="I143" s="28"/>
      <c r="J143" s="28"/>
      <c r="K143" s="28"/>
      <c r="L143" s="28"/>
      <c r="M143" s="28"/>
      <c r="N143" s="29"/>
      <c r="O143" s="29"/>
      <c r="P143" s="139">
        <f t="shared" si="22"/>
        <v>385747</v>
      </c>
      <c r="Q143" s="265"/>
      <c r="R143" s="24"/>
      <c r="S143" s="32"/>
      <c r="T143" s="25"/>
    </row>
    <row r="144" spans="1:20" ht="30">
      <c r="A144" s="37" t="s">
        <v>331</v>
      </c>
      <c r="B144" s="162" t="s">
        <v>332</v>
      </c>
      <c r="C144" s="29">
        <v>20000</v>
      </c>
      <c r="D144" s="28"/>
      <c r="E144" s="29"/>
      <c r="F144" s="29"/>
      <c r="G144" s="28"/>
      <c r="H144" s="28"/>
      <c r="I144" s="28"/>
      <c r="J144" s="28"/>
      <c r="K144" s="28"/>
      <c r="L144" s="28"/>
      <c r="M144" s="28"/>
      <c r="N144" s="29"/>
      <c r="O144" s="29"/>
      <c r="P144" s="139">
        <f t="shared" si="22"/>
        <v>20000</v>
      </c>
      <c r="Q144" s="265"/>
      <c r="R144" s="24"/>
      <c r="S144" s="32"/>
      <c r="T144" s="25"/>
    </row>
    <row r="145" spans="1:20" ht="45">
      <c r="A145" s="37" t="s">
        <v>333</v>
      </c>
      <c r="B145" s="209" t="s">
        <v>334</v>
      </c>
      <c r="C145" s="29">
        <v>60000</v>
      </c>
      <c r="D145" s="28"/>
      <c r="E145" s="29"/>
      <c r="F145" s="29"/>
      <c r="G145" s="28"/>
      <c r="H145" s="28"/>
      <c r="I145" s="28"/>
      <c r="J145" s="28"/>
      <c r="K145" s="28"/>
      <c r="L145" s="28"/>
      <c r="M145" s="28"/>
      <c r="N145" s="29"/>
      <c r="O145" s="29"/>
      <c r="P145" s="139">
        <f t="shared" si="22"/>
        <v>60000</v>
      </c>
      <c r="Q145" s="265"/>
      <c r="R145" s="24"/>
      <c r="S145" s="32"/>
      <c r="T145" s="25"/>
    </row>
    <row r="146" spans="1:20" ht="30">
      <c r="A146" s="174" t="s">
        <v>335</v>
      </c>
      <c r="B146" s="210" t="s">
        <v>336</v>
      </c>
      <c r="C146" s="29">
        <v>33870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139">
        <f t="shared" si="22"/>
        <v>33870</v>
      </c>
      <c r="Q146" s="265"/>
      <c r="R146" s="24"/>
      <c r="S146" s="32"/>
      <c r="T146" s="25"/>
    </row>
    <row r="147" spans="1:20" ht="15">
      <c r="A147" s="174" t="s">
        <v>337</v>
      </c>
      <c r="B147" s="211" t="s">
        <v>338</v>
      </c>
      <c r="C147" s="28">
        <v>70857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139">
        <f t="shared" si="22"/>
        <v>70857</v>
      </c>
      <c r="Q147" s="265"/>
      <c r="R147" s="24"/>
      <c r="S147" s="32"/>
      <c r="T147" s="25"/>
    </row>
    <row r="148" spans="1:20" ht="15">
      <c r="A148" s="174" t="s">
        <v>339</v>
      </c>
      <c r="B148" s="211" t="s">
        <v>340</v>
      </c>
      <c r="C148" s="28">
        <v>18862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139">
        <f t="shared" si="22"/>
        <v>18862</v>
      </c>
      <c r="Q148" s="265"/>
      <c r="R148" s="24"/>
      <c r="S148" s="32"/>
      <c r="T148" s="25"/>
    </row>
    <row r="149" spans="1:20" ht="15">
      <c r="A149" s="174" t="s">
        <v>341</v>
      </c>
      <c r="B149" s="212" t="s">
        <v>342</v>
      </c>
      <c r="C149" s="29">
        <v>319742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139">
        <f t="shared" si="22"/>
        <v>319742</v>
      </c>
      <c r="Q149" s="265"/>
      <c r="R149" s="24"/>
      <c r="S149" s="25"/>
      <c r="T149" s="25"/>
    </row>
    <row r="150" spans="1:20" s="5" customFormat="1" ht="15">
      <c r="A150" s="174" t="s">
        <v>343</v>
      </c>
      <c r="B150" s="212" t="s">
        <v>344</v>
      </c>
      <c r="C150" s="29">
        <v>148553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139">
        <f t="shared" si="22"/>
        <v>148553</v>
      </c>
      <c r="Q150" s="265"/>
      <c r="R150" s="24"/>
      <c r="S150" s="32"/>
      <c r="T150" s="25"/>
    </row>
    <row r="151" spans="1:20" s="5" customFormat="1" ht="45">
      <c r="A151" s="174" t="s">
        <v>345</v>
      </c>
      <c r="B151" s="212" t="s">
        <v>346</v>
      </c>
      <c r="C151" s="29">
        <v>90818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139">
        <f t="shared" si="22"/>
        <v>90818</v>
      </c>
      <c r="Q151" s="265"/>
      <c r="R151" s="24"/>
      <c r="S151" s="190"/>
      <c r="T151" s="25"/>
    </row>
    <row r="152" spans="1:20" s="5" customFormat="1" ht="28.5" customHeight="1">
      <c r="A152" s="80" t="s">
        <v>347</v>
      </c>
      <c r="B152" s="213" t="s">
        <v>348</v>
      </c>
      <c r="C152" s="29">
        <f>SUM(C153:C154)</f>
        <v>235395</v>
      </c>
      <c r="D152" s="29">
        <f aca="true" t="shared" si="30" ref="D152:O152">SUM(D153:D154)</f>
        <v>0</v>
      </c>
      <c r="E152" s="29">
        <f t="shared" si="30"/>
        <v>0</v>
      </c>
      <c r="F152" s="29">
        <f t="shared" si="30"/>
        <v>0</v>
      </c>
      <c r="G152" s="29">
        <f t="shared" si="30"/>
        <v>0</v>
      </c>
      <c r="H152" s="29">
        <f t="shared" si="30"/>
        <v>0</v>
      </c>
      <c r="I152" s="29">
        <f t="shared" si="30"/>
        <v>0</v>
      </c>
      <c r="J152" s="29">
        <f t="shared" si="30"/>
        <v>0</v>
      </c>
      <c r="K152" s="29">
        <f t="shared" si="30"/>
        <v>0</v>
      </c>
      <c r="L152" s="29">
        <f t="shared" si="30"/>
        <v>0</v>
      </c>
      <c r="M152" s="29">
        <f t="shared" si="30"/>
        <v>0</v>
      </c>
      <c r="N152" s="29">
        <f t="shared" si="30"/>
        <v>0</v>
      </c>
      <c r="O152" s="29">
        <f t="shared" si="30"/>
        <v>0</v>
      </c>
      <c r="P152" s="139">
        <f t="shared" si="22"/>
        <v>235395</v>
      </c>
      <c r="Q152" s="265"/>
      <c r="R152" s="24"/>
      <c r="S152" s="32"/>
      <c r="T152" s="25"/>
    </row>
    <row r="153" spans="1:20" ht="15">
      <c r="A153" s="214" t="s">
        <v>349</v>
      </c>
      <c r="B153" s="81" t="s">
        <v>350</v>
      </c>
      <c r="C153" s="155">
        <v>31000</v>
      </c>
      <c r="D153" s="82"/>
      <c r="E153" s="85"/>
      <c r="F153" s="85"/>
      <c r="G153" s="28"/>
      <c r="H153" s="28"/>
      <c r="I153" s="28"/>
      <c r="J153" s="28"/>
      <c r="K153" s="28"/>
      <c r="L153" s="28"/>
      <c r="M153" s="28"/>
      <c r="N153" s="29"/>
      <c r="O153" s="29"/>
      <c r="P153" s="139">
        <f t="shared" si="22"/>
        <v>31000</v>
      </c>
      <c r="Q153" s="265"/>
      <c r="R153" s="24"/>
      <c r="S153" s="32"/>
      <c r="T153" s="25"/>
    </row>
    <row r="154" spans="1:20" ht="29.25">
      <c r="A154" s="214" t="s">
        <v>351</v>
      </c>
      <c r="B154" s="81" t="s">
        <v>352</v>
      </c>
      <c r="C154" s="29">
        <v>204395</v>
      </c>
      <c r="D154" s="82"/>
      <c r="E154" s="85"/>
      <c r="F154" s="85"/>
      <c r="G154" s="28"/>
      <c r="H154" s="28"/>
      <c r="I154" s="28"/>
      <c r="J154" s="28"/>
      <c r="K154" s="28"/>
      <c r="L154" s="28"/>
      <c r="M154" s="28"/>
      <c r="N154" s="29"/>
      <c r="O154" s="29"/>
      <c r="P154" s="139">
        <f t="shared" si="22"/>
        <v>204395</v>
      </c>
      <c r="Q154" s="265"/>
      <c r="R154" s="24"/>
      <c r="S154" s="32"/>
      <c r="T154" s="25"/>
    </row>
    <row r="155" spans="1:20" ht="44.25" thickBot="1">
      <c r="A155" s="216" t="s">
        <v>353</v>
      </c>
      <c r="B155" s="217" t="s">
        <v>354</v>
      </c>
      <c r="C155" s="29">
        <v>18000</v>
      </c>
      <c r="D155" s="82"/>
      <c r="E155" s="85"/>
      <c r="F155" s="85"/>
      <c r="G155" s="28"/>
      <c r="H155" s="28"/>
      <c r="I155" s="28"/>
      <c r="J155" s="28"/>
      <c r="K155" s="28"/>
      <c r="L155" s="28"/>
      <c r="M155" s="28"/>
      <c r="N155" s="28"/>
      <c r="O155" s="29"/>
      <c r="P155" s="139">
        <f t="shared" si="22"/>
        <v>18000</v>
      </c>
      <c r="Q155" s="265"/>
      <c r="R155" s="24"/>
      <c r="S155" s="32"/>
      <c r="T155" s="25"/>
    </row>
    <row r="156" spans="1:20" ht="15.75" thickBot="1">
      <c r="A156" s="219" t="s">
        <v>355</v>
      </c>
      <c r="B156" s="182" t="s">
        <v>356</v>
      </c>
      <c r="C156" s="23">
        <f aca="true" t="shared" si="31" ref="C156:O156">C157+C172+C175+C194+C204+C212+C213</f>
        <v>52058015</v>
      </c>
      <c r="D156" s="23">
        <f t="shared" si="31"/>
        <v>0</v>
      </c>
      <c r="E156" s="23">
        <f t="shared" si="31"/>
        <v>0</v>
      </c>
      <c r="F156" s="23">
        <f t="shared" si="31"/>
        <v>0</v>
      </c>
      <c r="G156" s="23">
        <f t="shared" si="31"/>
        <v>1428794</v>
      </c>
      <c r="H156" s="23">
        <f t="shared" si="31"/>
        <v>0</v>
      </c>
      <c r="I156" s="23">
        <f t="shared" si="31"/>
        <v>538332</v>
      </c>
      <c r="J156" s="23">
        <f t="shared" si="31"/>
        <v>1684222</v>
      </c>
      <c r="K156" s="23">
        <f t="shared" si="31"/>
        <v>42752</v>
      </c>
      <c r="L156" s="23">
        <f t="shared" si="31"/>
        <v>25157</v>
      </c>
      <c r="M156" s="23">
        <f t="shared" si="31"/>
        <v>48345</v>
      </c>
      <c r="N156" s="23">
        <f t="shared" si="31"/>
        <v>698203</v>
      </c>
      <c r="O156" s="56">
        <f t="shared" si="31"/>
        <v>0</v>
      </c>
      <c r="P156" s="57">
        <f t="shared" si="22"/>
        <v>56523820</v>
      </c>
      <c r="Q156" s="265"/>
      <c r="R156" s="24"/>
      <c r="S156" s="32"/>
      <c r="T156" s="25"/>
    </row>
    <row r="157" spans="1:20" ht="15">
      <c r="A157" s="130" t="s">
        <v>357</v>
      </c>
      <c r="B157" s="131" t="s">
        <v>358</v>
      </c>
      <c r="C157" s="132">
        <f>SUM(C158:C171)</f>
        <v>11698945</v>
      </c>
      <c r="D157" s="132">
        <f aca="true" t="shared" si="32" ref="D157:O157">SUM(D158:D171)</f>
        <v>0</v>
      </c>
      <c r="E157" s="132">
        <f t="shared" si="32"/>
        <v>0</v>
      </c>
      <c r="F157" s="132">
        <f t="shared" si="32"/>
        <v>0</v>
      </c>
      <c r="G157" s="132">
        <f t="shared" si="32"/>
        <v>0</v>
      </c>
      <c r="H157" s="132">
        <f t="shared" si="32"/>
        <v>0</v>
      </c>
      <c r="I157" s="132">
        <f t="shared" si="32"/>
        <v>0</v>
      </c>
      <c r="J157" s="132">
        <f t="shared" si="32"/>
        <v>545796</v>
      </c>
      <c r="K157" s="132">
        <f t="shared" si="32"/>
        <v>0</v>
      </c>
      <c r="L157" s="132">
        <f t="shared" si="32"/>
        <v>0</v>
      </c>
      <c r="M157" s="132">
        <f t="shared" si="32"/>
        <v>0</v>
      </c>
      <c r="N157" s="132">
        <f t="shared" si="32"/>
        <v>0</v>
      </c>
      <c r="O157" s="132">
        <f t="shared" si="32"/>
        <v>0</v>
      </c>
      <c r="P157" s="31">
        <f t="shared" si="22"/>
        <v>12244741</v>
      </c>
      <c r="Q157" s="265"/>
      <c r="R157" s="24"/>
      <c r="S157" s="32"/>
      <c r="T157" s="25"/>
    </row>
    <row r="158" spans="1:20" ht="15">
      <c r="A158" s="37" t="s">
        <v>359</v>
      </c>
      <c r="B158" s="34" t="s">
        <v>360</v>
      </c>
      <c r="C158" s="29">
        <f>1016529+141416</f>
        <v>1157945</v>
      </c>
      <c r="D158" s="29"/>
      <c r="E158" s="29"/>
      <c r="F158" s="29"/>
      <c r="G158" s="28"/>
      <c r="H158" s="28"/>
      <c r="I158" s="28"/>
      <c r="J158" s="28"/>
      <c r="K158" s="28"/>
      <c r="L158" s="28"/>
      <c r="M158" s="28"/>
      <c r="N158" s="29"/>
      <c r="O158" s="29"/>
      <c r="P158" s="139">
        <f t="shared" si="22"/>
        <v>1157945</v>
      </c>
      <c r="Q158" s="265"/>
      <c r="R158" s="24"/>
      <c r="S158" s="32"/>
      <c r="T158" s="25"/>
    </row>
    <row r="159" spans="1:20" ht="15">
      <c r="A159" s="37" t="s">
        <v>361</v>
      </c>
      <c r="B159" s="34" t="s">
        <v>362</v>
      </c>
      <c r="C159" s="29">
        <f>744070+76640</f>
        <v>820710</v>
      </c>
      <c r="D159" s="29"/>
      <c r="E159" s="29"/>
      <c r="F159" s="29"/>
      <c r="G159" s="28"/>
      <c r="H159" s="28"/>
      <c r="I159" s="28"/>
      <c r="J159" s="28"/>
      <c r="K159" s="28"/>
      <c r="L159" s="28"/>
      <c r="M159" s="28"/>
      <c r="N159" s="29"/>
      <c r="O159" s="29"/>
      <c r="P159" s="139">
        <f t="shared" si="22"/>
        <v>820710</v>
      </c>
      <c r="Q159" s="265"/>
      <c r="R159" s="24"/>
      <c r="S159" s="32"/>
      <c r="T159" s="25"/>
    </row>
    <row r="160" spans="1:20" ht="15">
      <c r="A160" s="37" t="s">
        <v>363</v>
      </c>
      <c r="B160" s="34" t="s">
        <v>364</v>
      </c>
      <c r="C160" s="29">
        <f>748110+126808+2624</f>
        <v>877542</v>
      </c>
      <c r="D160" s="29"/>
      <c r="E160" s="29"/>
      <c r="F160" s="29"/>
      <c r="G160" s="28"/>
      <c r="H160" s="28"/>
      <c r="I160" s="28"/>
      <c r="J160" s="28"/>
      <c r="K160" s="28"/>
      <c r="L160" s="28"/>
      <c r="M160" s="28"/>
      <c r="N160" s="29"/>
      <c r="O160" s="29"/>
      <c r="P160" s="139">
        <f t="shared" si="22"/>
        <v>877542</v>
      </c>
      <c r="Q160" s="265"/>
      <c r="R160" s="24"/>
      <c r="S160" s="25"/>
      <c r="T160" s="25"/>
    </row>
    <row r="161" spans="1:20" ht="15">
      <c r="A161" s="37" t="s">
        <v>365</v>
      </c>
      <c r="B161" s="34" t="s">
        <v>366</v>
      </c>
      <c r="C161" s="29">
        <f>923499+103096</f>
        <v>1026595</v>
      </c>
      <c r="D161" s="29"/>
      <c r="E161" s="29"/>
      <c r="F161" s="29"/>
      <c r="G161" s="28"/>
      <c r="H161" s="28"/>
      <c r="I161" s="28"/>
      <c r="J161" s="28"/>
      <c r="K161" s="28"/>
      <c r="L161" s="28"/>
      <c r="M161" s="28"/>
      <c r="N161" s="29"/>
      <c r="O161" s="29"/>
      <c r="P161" s="139">
        <f aca="true" t="shared" si="33" ref="P161:P196">SUM(C161:O161)</f>
        <v>1026595</v>
      </c>
      <c r="Q161" s="265"/>
      <c r="R161" s="24"/>
      <c r="S161" s="32"/>
      <c r="T161" s="25"/>
    </row>
    <row r="162" spans="1:20" ht="15">
      <c r="A162" s="37" t="s">
        <v>367</v>
      </c>
      <c r="B162" s="34" t="s">
        <v>368</v>
      </c>
      <c r="C162" s="155">
        <f>499089+42880</f>
        <v>541969</v>
      </c>
      <c r="D162" s="29"/>
      <c r="E162" s="29"/>
      <c r="F162" s="29"/>
      <c r="G162" s="28"/>
      <c r="H162" s="28"/>
      <c r="I162" s="28"/>
      <c r="J162" s="28"/>
      <c r="K162" s="28"/>
      <c r="L162" s="28"/>
      <c r="M162" s="28"/>
      <c r="N162" s="29"/>
      <c r="O162" s="29"/>
      <c r="P162" s="139">
        <f t="shared" si="33"/>
        <v>541969</v>
      </c>
      <c r="Q162" s="265"/>
      <c r="R162" s="24"/>
      <c r="S162" s="32"/>
      <c r="T162" s="25"/>
    </row>
    <row r="163" spans="1:20" ht="15">
      <c r="A163" s="37" t="s">
        <v>369</v>
      </c>
      <c r="B163" s="34" t="s">
        <v>370</v>
      </c>
      <c r="C163" s="155">
        <f>964185+134120</f>
        <v>1098305</v>
      </c>
      <c r="D163" s="29"/>
      <c r="E163" s="29"/>
      <c r="F163" s="29"/>
      <c r="G163" s="28"/>
      <c r="H163" s="28"/>
      <c r="I163" s="28"/>
      <c r="J163" s="28"/>
      <c r="K163" s="28"/>
      <c r="L163" s="28"/>
      <c r="M163" s="28"/>
      <c r="N163" s="29"/>
      <c r="O163" s="29"/>
      <c r="P163" s="139">
        <f t="shared" si="33"/>
        <v>1098305</v>
      </c>
      <c r="Q163" s="265"/>
      <c r="R163" s="24"/>
      <c r="S163" s="32"/>
      <c r="T163" s="25"/>
    </row>
    <row r="164" spans="1:20" ht="15">
      <c r="A164" s="37" t="s">
        <v>371</v>
      </c>
      <c r="B164" s="34" t="s">
        <v>372</v>
      </c>
      <c r="C164" s="155">
        <f>524477+65688</f>
        <v>590165</v>
      </c>
      <c r="D164" s="29"/>
      <c r="E164" s="29"/>
      <c r="F164" s="29"/>
      <c r="G164" s="28"/>
      <c r="H164" s="28"/>
      <c r="I164" s="28"/>
      <c r="J164" s="29"/>
      <c r="K164" s="29"/>
      <c r="L164" s="29"/>
      <c r="M164" s="29"/>
      <c r="N164" s="29"/>
      <c r="O164" s="29"/>
      <c r="P164" s="139">
        <f t="shared" si="33"/>
        <v>590165</v>
      </c>
      <c r="Q164" s="265"/>
      <c r="R164" s="24"/>
      <c r="S164" s="32"/>
      <c r="T164" s="25"/>
    </row>
    <row r="165" spans="1:20" ht="15">
      <c r="A165" s="37" t="s">
        <v>373</v>
      </c>
      <c r="B165" s="34" t="s">
        <v>374</v>
      </c>
      <c r="C165" s="155"/>
      <c r="D165" s="29"/>
      <c r="E165" s="29"/>
      <c r="F165" s="29"/>
      <c r="G165" s="28"/>
      <c r="H165" s="28"/>
      <c r="I165" s="28"/>
      <c r="J165" s="28">
        <v>545796</v>
      </c>
      <c r="K165" s="29"/>
      <c r="L165" s="29"/>
      <c r="M165" s="29"/>
      <c r="N165" s="29"/>
      <c r="O165" s="29"/>
      <c r="P165" s="139">
        <f t="shared" si="33"/>
        <v>545796</v>
      </c>
      <c r="Q165" s="265"/>
      <c r="R165" s="24"/>
      <c r="S165" s="32"/>
      <c r="T165" s="25"/>
    </row>
    <row r="166" spans="1:20" ht="30">
      <c r="A166" s="37" t="s">
        <v>375</v>
      </c>
      <c r="B166" s="34" t="s">
        <v>376</v>
      </c>
      <c r="C166" s="155">
        <f>744036+140400</f>
        <v>884436</v>
      </c>
      <c r="D166" s="29"/>
      <c r="E166" s="29"/>
      <c r="F166" s="29"/>
      <c r="G166" s="28"/>
      <c r="H166" s="28"/>
      <c r="I166" s="28"/>
      <c r="J166" s="29"/>
      <c r="K166" s="29"/>
      <c r="L166" s="29"/>
      <c r="M166" s="29"/>
      <c r="N166" s="29"/>
      <c r="O166" s="29"/>
      <c r="P166" s="139">
        <f t="shared" si="33"/>
        <v>884436</v>
      </c>
      <c r="Q166" s="265"/>
      <c r="R166" s="24"/>
      <c r="S166" s="32"/>
      <c r="T166" s="25"/>
    </row>
    <row r="167" spans="1:20" ht="15">
      <c r="A167" s="168" t="s">
        <v>377</v>
      </c>
      <c r="B167" s="34" t="s">
        <v>378</v>
      </c>
      <c r="C167" s="155">
        <f>1221095+163000</f>
        <v>1384095</v>
      </c>
      <c r="D167" s="29"/>
      <c r="E167" s="29"/>
      <c r="F167" s="29"/>
      <c r="G167" s="28"/>
      <c r="H167" s="28"/>
      <c r="I167" s="28"/>
      <c r="J167" s="155"/>
      <c r="K167" s="29"/>
      <c r="L167" s="29"/>
      <c r="M167" s="29"/>
      <c r="N167" s="29"/>
      <c r="O167" s="29"/>
      <c r="P167" s="139">
        <f t="shared" si="33"/>
        <v>1384095</v>
      </c>
      <c r="Q167" s="265"/>
      <c r="R167" s="24"/>
      <c r="S167" s="32"/>
      <c r="T167" s="25"/>
    </row>
    <row r="168" spans="1:20" ht="15">
      <c r="A168" s="168" t="s">
        <v>379</v>
      </c>
      <c r="B168" s="34" t="s">
        <v>380</v>
      </c>
      <c r="C168" s="155">
        <f>725046+90096</f>
        <v>815142</v>
      </c>
      <c r="D168" s="29"/>
      <c r="E168" s="29"/>
      <c r="F168" s="29"/>
      <c r="G168" s="28"/>
      <c r="H168" s="28"/>
      <c r="I168" s="28"/>
      <c r="J168" s="155"/>
      <c r="K168" s="29"/>
      <c r="L168" s="29"/>
      <c r="M168" s="29"/>
      <c r="N168" s="29"/>
      <c r="O168" s="29"/>
      <c r="P168" s="139">
        <f t="shared" si="33"/>
        <v>815142</v>
      </c>
      <c r="Q168" s="265"/>
      <c r="R168" s="24"/>
      <c r="S168" s="32"/>
      <c r="T168" s="25"/>
    </row>
    <row r="169" spans="1:20" ht="15">
      <c r="A169" s="168" t="s">
        <v>381</v>
      </c>
      <c r="B169" s="34" t="s">
        <v>382</v>
      </c>
      <c r="C169" s="155">
        <f>866471+121488</f>
        <v>987959</v>
      </c>
      <c r="D169" s="29"/>
      <c r="E169" s="29"/>
      <c r="F169" s="29"/>
      <c r="G169" s="28"/>
      <c r="H169" s="28"/>
      <c r="I169" s="28"/>
      <c r="J169" s="155"/>
      <c r="K169" s="29"/>
      <c r="L169" s="29"/>
      <c r="M169" s="29"/>
      <c r="N169" s="29"/>
      <c r="O169" s="29"/>
      <c r="P169" s="139">
        <f t="shared" si="33"/>
        <v>987959</v>
      </c>
      <c r="Q169" s="265"/>
      <c r="R169" s="24"/>
      <c r="S169" s="32"/>
      <c r="T169" s="25"/>
    </row>
    <row r="170" spans="1:20" ht="15">
      <c r="A170" s="168" t="s">
        <v>383</v>
      </c>
      <c r="B170" s="34" t="s">
        <v>384</v>
      </c>
      <c r="C170" s="155">
        <f>317128+29192</f>
        <v>346320</v>
      </c>
      <c r="D170" s="29"/>
      <c r="E170" s="29"/>
      <c r="F170" s="29"/>
      <c r="G170" s="28"/>
      <c r="H170" s="28"/>
      <c r="I170" s="28"/>
      <c r="J170" s="155"/>
      <c r="K170" s="29"/>
      <c r="L170" s="29"/>
      <c r="M170" s="29"/>
      <c r="N170" s="29"/>
      <c r="O170" s="29"/>
      <c r="P170" s="139">
        <f t="shared" si="33"/>
        <v>346320</v>
      </c>
      <c r="Q170" s="265"/>
      <c r="R170" s="24"/>
      <c r="S170" s="32"/>
      <c r="T170" s="25"/>
    </row>
    <row r="171" spans="1:20" ht="15">
      <c r="A171" s="168" t="s">
        <v>385</v>
      </c>
      <c r="B171" s="34" t="s">
        <v>386</v>
      </c>
      <c r="C171" s="155">
        <f>1034098+133664</f>
        <v>1167762</v>
      </c>
      <c r="D171" s="29"/>
      <c r="E171" s="29"/>
      <c r="F171" s="29"/>
      <c r="G171" s="28"/>
      <c r="H171" s="28"/>
      <c r="I171" s="28"/>
      <c r="J171" s="155"/>
      <c r="K171" s="29"/>
      <c r="L171" s="29"/>
      <c r="M171" s="29"/>
      <c r="N171" s="29"/>
      <c r="O171" s="29"/>
      <c r="P171" s="139">
        <f t="shared" si="33"/>
        <v>1167762</v>
      </c>
      <c r="Q171" s="265"/>
      <c r="R171" s="24"/>
      <c r="S171" s="32"/>
      <c r="T171" s="25"/>
    </row>
    <row r="172" spans="1:20" ht="15">
      <c r="A172" s="140" t="s">
        <v>387</v>
      </c>
      <c r="B172" s="81" t="s">
        <v>388</v>
      </c>
      <c r="C172" s="85">
        <f>SUM(C173:C174)</f>
        <v>1091622</v>
      </c>
      <c r="D172" s="85">
        <f aca="true" t="shared" si="34" ref="D172:O172">SUM(D173:D174)</f>
        <v>0</v>
      </c>
      <c r="E172" s="85">
        <f t="shared" si="34"/>
        <v>0</v>
      </c>
      <c r="F172" s="85">
        <f t="shared" si="34"/>
        <v>0</v>
      </c>
      <c r="G172" s="85">
        <f t="shared" si="34"/>
        <v>0</v>
      </c>
      <c r="H172" s="85">
        <f t="shared" si="34"/>
        <v>0</v>
      </c>
      <c r="I172" s="85">
        <f t="shared" si="34"/>
        <v>0</v>
      </c>
      <c r="J172" s="85">
        <f t="shared" si="34"/>
        <v>0</v>
      </c>
      <c r="K172" s="85">
        <f t="shared" si="34"/>
        <v>0</v>
      </c>
      <c r="L172" s="85">
        <f t="shared" si="34"/>
        <v>0</v>
      </c>
      <c r="M172" s="85">
        <f t="shared" si="34"/>
        <v>0</v>
      </c>
      <c r="N172" s="85">
        <f t="shared" si="34"/>
        <v>0</v>
      </c>
      <c r="O172" s="85">
        <f t="shared" si="34"/>
        <v>0</v>
      </c>
      <c r="P172" s="139">
        <f t="shared" si="33"/>
        <v>1091622</v>
      </c>
      <c r="Q172" s="265"/>
      <c r="R172" s="24"/>
      <c r="S172" s="32"/>
      <c r="T172" s="25"/>
    </row>
    <row r="173" spans="1:20" ht="15">
      <c r="A173" s="198" t="s">
        <v>389</v>
      </c>
      <c r="B173" s="170" t="s">
        <v>390</v>
      </c>
      <c r="C173" s="29"/>
      <c r="D173" s="29"/>
      <c r="E173" s="29"/>
      <c r="F173" s="29"/>
      <c r="G173" s="208"/>
      <c r="H173" s="29"/>
      <c r="I173" s="29"/>
      <c r="J173" s="29"/>
      <c r="K173" s="29"/>
      <c r="L173" s="29"/>
      <c r="M173" s="29"/>
      <c r="N173" s="29"/>
      <c r="O173" s="29"/>
      <c r="P173" s="139">
        <f t="shared" si="33"/>
        <v>0</v>
      </c>
      <c r="Q173" s="265"/>
      <c r="R173" s="24"/>
      <c r="S173" s="32"/>
      <c r="T173" s="25"/>
    </row>
    <row r="174" spans="1:20" ht="15">
      <c r="A174" s="198" t="s">
        <v>391</v>
      </c>
      <c r="B174" s="199" t="s">
        <v>392</v>
      </c>
      <c r="C174" s="29">
        <f>829891+261731</f>
        <v>1091622</v>
      </c>
      <c r="D174" s="29"/>
      <c r="E174" s="29"/>
      <c r="F174" s="29"/>
      <c r="G174" s="41"/>
      <c r="H174" s="28"/>
      <c r="I174" s="28"/>
      <c r="J174" s="29"/>
      <c r="K174" s="29"/>
      <c r="L174" s="29"/>
      <c r="M174" s="29"/>
      <c r="N174" s="29"/>
      <c r="O174" s="29"/>
      <c r="P174" s="139">
        <f t="shared" si="33"/>
        <v>1091622</v>
      </c>
      <c r="Q174" s="265"/>
      <c r="R174" s="24"/>
      <c r="S174" s="32"/>
      <c r="T174" s="25"/>
    </row>
    <row r="175" spans="1:20" ht="29.25">
      <c r="A175" s="140" t="s">
        <v>393</v>
      </c>
      <c r="B175" s="81" t="s">
        <v>394</v>
      </c>
      <c r="C175" s="85">
        <f>SUM(C176:C193)</f>
        <v>16989977</v>
      </c>
      <c r="D175" s="85">
        <f aca="true" t="shared" si="35" ref="D175:O175">SUM(D176:D193)</f>
        <v>0</v>
      </c>
      <c r="E175" s="85">
        <f t="shared" si="35"/>
        <v>0</v>
      </c>
      <c r="F175" s="85">
        <f t="shared" si="35"/>
        <v>0</v>
      </c>
      <c r="G175" s="85">
        <f t="shared" si="35"/>
        <v>1249494</v>
      </c>
      <c r="H175" s="85">
        <f t="shared" si="35"/>
        <v>0</v>
      </c>
      <c r="I175" s="85">
        <f t="shared" si="35"/>
        <v>472260</v>
      </c>
      <c r="J175" s="85">
        <f t="shared" si="35"/>
        <v>708826</v>
      </c>
      <c r="K175" s="85">
        <f t="shared" si="35"/>
        <v>0</v>
      </c>
      <c r="L175" s="85">
        <f t="shared" si="35"/>
        <v>1300</v>
      </c>
      <c r="M175" s="85">
        <f t="shared" si="35"/>
        <v>27700</v>
      </c>
      <c r="N175" s="85">
        <f>SUM(N176:N193)</f>
        <v>645770</v>
      </c>
      <c r="O175" s="85">
        <f t="shared" si="35"/>
        <v>0</v>
      </c>
      <c r="P175" s="139">
        <f t="shared" si="33"/>
        <v>20095327</v>
      </c>
      <c r="Q175" s="265"/>
      <c r="R175" s="24"/>
      <c r="S175" s="32"/>
      <c r="T175" s="25"/>
    </row>
    <row r="176" spans="1:20" ht="15">
      <c r="A176" s="37" t="s">
        <v>395</v>
      </c>
      <c r="B176" s="34" t="s">
        <v>396</v>
      </c>
      <c r="C176" s="29">
        <f>856580+1583977</f>
        <v>2440557</v>
      </c>
      <c r="D176" s="28"/>
      <c r="E176" s="29"/>
      <c r="F176" s="29"/>
      <c r="G176" s="28"/>
      <c r="H176" s="28"/>
      <c r="I176" s="28"/>
      <c r="J176" s="28"/>
      <c r="K176" s="28"/>
      <c r="L176" s="28"/>
      <c r="M176" s="28"/>
      <c r="N176" s="29"/>
      <c r="O176" s="29"/>
      <c r="P176" s="139">
        <f t="shared" si="33"/>
        <v>2440557</v>
      </c>
      <c r="Q176" s="265"/>
      <c r="R176" s="24"/>
      <c r="S176" s="32"/>
      <c r="T176" s="25"/>
    </row>
    <row r="177" spans="1:20" ht="15">
      <c r="A177" s="37" t="s">
        <v>397</v>
      </c>
      <c r="B177" s="34" t="s">
        <v>616</v>
      </c>
      <c r="C177" s="155">
        <f>492055+422950+946379</f>
        <v>1861384</v>
      </c>
      <c r="D177" s="28"/>
      <c r="E177" s="29"/>
      <c r="F177" s="29"/>
      <c r="G177" s="28"/>
      <c r="H177" s="28"/>
      <c r="I177" s="28"/>
      <c r="J177" s="28"/>
      <c r="K177" s="28"/>
      <c r="L177" s="28"/>
      <c r="M177" s="28"/>
      <c r="N177" s="29"/>
      <c r="O177" s="29"/>
      <c r="P177" s="139">
        <f t="shared" si="33"/>
        <v>1861384</v>
      </c>
      <c r="Q177" s="265"/>
      <c r="R177" s="24"/>
      <c r="S177" s="32"/>
      <c r="T177" s="25"/>
    </row>
    <row r="178" spans="1:20" ht="15">
      <c r="A178" s="37" t="s">
        <v>398</v>
      </c>
      <c r="B178" s="34" t="s">
        <v>399</v>
      </c>
      <c r="C178" s="29">
        <f>548877+697301</f>
        <v>1246178</v>
      </c>
      <c r="D178" s="28"/>
      <c r="E178" s="29"/>
      <c r="F178" s="29"/>
      <c r="G178" s="28"/>
      <c r="H178" s="28"/>
      <c r="I178" s="28"/>
      <c r="J178" s="28"/>
      <c r="K178" s="28"/>
      <c r="L178" s="28"/>
      <c r="M178" s="28"/>
      <c r="N178" s="29"/>
      <c r="O178" s="29"/>
      <c r="P178" s="139">
        <f t="shared" si="33"/>
        <v>1246178</v>
      </c>
      <c r="Q178" s="265"/>
      <c r="R178" s="24"/>
      <c r="S178" s="32"/>
      <c r="T178" s="25"/>
    </row>
    <row r="179" spans="1:20" ht="15">
      <c r="A179" s="37" t="s">
        <v>400</v>
      </c>
      <c r="B179" s="34" t="s">
        <v>401</v>
      </c>
      <c r="C179" s="29">
        <f>300430+259088</f>
        <v>559518</v>
      </c>
      <c r="D179" s="28"/>
      <c r="E179" s="29"/>
      <c r="F179" s="29"/>
      <c r="G179" s="28"/>
      <c r="H179" s="28"/>
      <c r="I179" s="237"/>
      <c r="J179" s="28"/>
      <c r="K179" s="28"/>
      <c r="L179" s="28"/>
      <c r="M179" s="28"/>
      <c r="N179" s="29"/>
      <c r="O179" s="29"/>
      <c r="P179" s="139">
        <f t="shared" si="33"/>
        <v>559518</v>
      </c>
      <c r="Q179" s="265"/>
      <c r="R179" s="24"/>
      <c r="S179" s="32"/>
      <c r="T179" s="25"/>
    </row>
    <row r="180" spans="1:20" ht="15">
      <c r="A180" s="37" t="s">
        <v>402</v>
      </c>
      <c r="B180" s="34" t="s">
        <v>403</v>
      </c>
      <c r="C180" s="29"/>
      <c r="D180" s="28"/>
      <c r="E180" s="29"/>
      <c r="F180" s="29"/>
      <c r="G180" s="28"/>
      <c r="H180" s="28"/>
      <c r="I180" s="28">
        <v>472260</v>
      </c>
      <c r="J180" s="29"/>
      <c r="K180" s="29"/>
      <c r="L180" s="29"/>
      <c r="M180" s="29"/>
      <c r="N180" s="29"/>
      <c r="O180" s="29"/>
      <c r="P180" s="139">
        <f t="shared" si="33"/>
        <v>472260</v>
      </c>
      <c r="Q180" s="265"/>
      <c r="R180" s="24"/>
      <c r="S180" s="32"/>
      <c r="T180" s="25"/>
    </row>
    <row r="181" spans="1:20" ht="15">
      <c r="A181" s="37" t="s">
        <v>404</v>
      </c>
      <c r="B181" s="34" t="s">
        <v>405</v>
      </c>
      <c r="C181" s="29"/>
      <c r="D181" s="28"/>
      <c r="E181" s="29"/>
      <c r="F181" s="29"/>
      <c r="G181" s="28"/>
      <c r="H181" s="28"/>
      <c r="I181" s="28"/>
      <c r="J181" s="28">
        <v>708826</v>
      </c>
      <c r="K181" s="29"/>
      <c r="L181" s="29"/>
      <c r="M181" s="29"/>
      <c r="N181" s="29"/>
      <c r="O181" s="29"/>
      <c r="P181" s="139">
        <f t="shared" si="33"/>
        <v>708826</v>
      </c>
      <c r="Q181" s="265"/>
      <c r="R181" s="24"/>
      <c r="S181" s="32"/>
      <c r="T181" s="25"/>
    </row>
    <row r="182" spans="1:20" ht="15">
      <c r="A182" s="37" t="s">
        <v>406</v>
      </c>
      <c r="B182" s="34" t="s">
        <v>407</v>
      </c>
      <c r="C182" s="29"/>
      <c r="D182" s="28"/>
      <c r="E182" s="29"/>
      <c r="F182" s="29"/>
      <c r="G182" s="28"/>
      <c r="H182" s="28"/>
      <c r="I182" s="28"/>
      <c r="J182" s="29"/>
      <c r="K182" s="29"/>
      <c r="L182" s="29">
        <v>1300</v>
      </c>
      <c r="M182" s="28">
        <v>27700</v>
      </c>
      <c r="N182" s="42">
        <v>645770</v>
      </c>
      <c r="O182" s="29"/>
      <c r="P182" s="139">
        <f t="shared" si="33"/>
        <v>674770</v>
      </c>
      <c r="Q182" s="265"/>
      <c r="R182" s="24"/>
      <c r="S182" s="32"/>
      <c r="T182" s="25"/>
    </row>
    <row r="183" spans="1:20" ht="15">
      <c r="A183" s="37" t="s">
        <v>408</v>
      </c>
      <c r="B183" s="34" t="s">
        <v>409</v>
      </c>
      <c r="C183" s="29"/>
      <c r="D183" s="28"/>
      <c r="E183" s="29"/>
      <c r="F183" s="29"/>
      <c r="G183" s="28">
        <v>1249494</v>
      </c>
      <c r="H183" s="28"/>
      <c r="I183" s="28"/>
      <c r="J183" s="29"/>
      <c r="K183" s="29"/>
      <c r="L183" s="29"/>
      <c r="M183" s="29"/>
      <c r="N183" s="29"/>
      <c r="O183" s="29"/>
      <c r="P183" s="139">
        <f t="shared" si="33"/>
        <v>1249494</v>
      </c>
      <c r="Q183" s="265"/>
      <c r="R183" s="24"/>
      <c r="S183" s="32"/>
      <c r="T183" s="25"/>
    </row>
    <row r="184" spans="1:20" ht="30">
      <c r="A184" s="168" t="s">
        <v>410</v>
      </c>
      <c r="B184" s="34" t="s">
        <v>411</v>
      </c>
      <c r="C184" s="155">
        <f>180000+8356</f>
        <v>188356</v>
      </c>
      <c r="D184" s="29"/>
      <c r="E184" s="29"/>
      <c r="F184" s="29"/>
      <c r="G184" s="220"/>
      <c r="H184" s="29"/>
      <c r="I184" s="29"/>
      <c r="J184" s="29"/>
      <c r="K184" s="29"/>
      <c r="L184" s="29"/>
      <c r="M184" s="29"/>
      <c r="N184" s="29"/>
      <c r="O184" s="29"/>
      <c r="P184" s="139">
        <f t="shared" si="33"/>
        <v>188356</v>
      </c>
      <c r="Q184" s="265"/>
      <c r="R184" s="24"/>
      <c r="S184" s="32"/>
      <c r="T184" s="25"/>
    </row>
    <row r="185" spans="1:20" ht="15">
      <c r="A185" s="168" t="s">
        <v>412</v>
      </c>
      <c r="B185" s="34" t="s">
        <v>413</v>
      </c>
      <c r="C185" s="29">
        <f>573085+629035</f>
        <v>1202120</v>
      </c>
      <c r="D185" s="29"/>
      <c r="E185" s="29"/>
      <c r="F185" s="29"/>
      <c r="G185" s="41"/>
      <c r="H185" s="28"/>
      <c r="I185" s="28"/>
      <c r="J185" s="29"/>
      <c r="K185" s="29"/>
      <c r="L185" s="29"/>
      <c r="M185" s="29"/>
      <c r="N185" s="29"/>
      <c r="O185" s="29"/>
      <c r="P185" s="139">
        <f t="shared" si="33"/>
        <v>1202120</v>
      </c>
      <c r="Q185" s="265"/>
      <c r="R185" s="24"/>
      <c r="S185" s="32"/>
      <c r="T185" s="25"/>
    </row>
    <row r="186" spans="1:20" ht="15">
      <c r="A186" s="168" t="s">
        <v>414</v>
      </c>
      <c r="B186" s="34" t="s">
        <v>415</v>
      </c>
      <c r="C186" s="29">
        <f>295384+181239</f>
        <v>476623</v>
      </c>
      <c r="D186" s="29"/>
      <c r="E186" s="29"/>
      <c r="F186" s="29"/>
      <c r="G186" s="41"/>
      <c r="H186" s="28"/>
      <c r="I186" s="28"/>
      <c r="J186" s="29"/>
      <c r="K186" s="29"/>
      <c r="L186" s="29"/>
      <c r="M186" s="29"/>
      <c r="N186" s="29"/>
      <c r="O186" s="29"/>
      <c r="P186" s="139">
        <f t="shared" si="33"/>
        <v>476623</v>
      </c>
      <c r="Q186" s="265"/>
      <c r="R186" s="24"/>
      <c r="S186" s="32"/>
      <c r="T186" s="25"/>
    </row>
    <row r="187" spans="1:20" ht="15">
      <c r="A187" s="168" t="s">
        <v>416</v>
      </c>
      <c r="B187" s="34" t="s">
        <v>417</v>
      </c>
      <c r="C187" s="29">
        <f>657331+485593</f>
        <v>1142924</v>
      </c>
      <c r="D187" s="29"/>
      <c r="E187" s="29"/>
      <c r="F187" s="29"/>
      <c r="G187" s="41"/>
      <c r="H187" s="28"/>
      <c r="I187" s="28"/>
      <c r="J187" s="29"/>
      <c r="K187" s="29"/>
      <c r="L187" s="29"/>
      <c r="M187" s="29"/>
      <c r="N187" s="29"/>
      <c r="O187" s="29"/>
      <c r="P187" s="139">
        <f t="shared" si="33"/>
        <v>1142924</v>
      </c>
      <c r="Q187" s="265"/>
      <c r="R187" s="24"/>
      <c r="S187" s="32"/>
      <c r="T187" s="25"/>
    </row>
    <row r="188" spans="1:20" s="5" customFormat="1" ht="15">
      <c r="A188" s="168" t="s">
        <v>418</v>
      </c>
      <c r="B188" s="34" t="s">
        <v>419</v>
      </c>
      <c r="C188" s="29">
        <f>587937+212138</f>
        <v>800075</v>
      </c>
      <c r="D188" s="29"/>
      <c r="E188" s="29"/>
      <c r="F188" s="29"/>
      <c r="G188" s="41"/>
      <c r="H188" s="28"/>
      <c r="I188" s="28"/>
      <c r="J188" s="29"/>
      <c r="K188" s="29"/>
      <c r="L188" s="29"/>
      <c r="M188" s="29"/>
      <c r="N188" s="29"/>
      <c r="O188" s="29"/>
      <c r="P188" s="139">
        <f t="shared" si="33"/>
        <v>800075</v>
      </c>
      <c r="Q188" s="265"/>
      <c r="R188" s="24"/>
      <c r="S188" s="32"/>
      <c r="T188" s="25"/>
    </row>
    <row r="189" spans="1:20" ht="15">
      <c r="A189" s="168" t="s">
        <v>420</v>
      </c>
      <c r="B189" s="34" t="s">
        <v>421</v>
      </c>
      <c r="C189" s="155">
        <f>697132+242951</f>
        <v>940083</v>
      </c>
      <c r="D189" s="29"/>
      <c r="E189" s="29"/>
      <c r="F189" s="29"/>
      <c r="G189" s="41"/>
      <c r="H189" s="28"/>
      <c r="I189" s="28"/>
      <c r="J189" s="29"/>
      <c r="K189" s="29"/>
      <c r="L189" s="29"/>
      <c r="M189" s="29"/>
      <c r="N189" s="29"/>
      <c r="O189" s="29"/>
      <c r="P189" s="139">
        <f t="shared" si="33"/>
        <v>940083</v>
      </c>
      <c r="Q189" s="265"/>
      <c r="R189" s="24"/>
      <c r="S189" s="32"/>
      <c r="T189" s="25"/>
    </row>
    <row r="190" spans="1:20" ht="15">
      <c r="A190" s="168" t="s">
        <v>422</v>
      </c>
      <c r="B190" s="34" t="s">
        <v>423</v>
      </c>
      <c r="C190" s="155">
        <v>472366</v>
      </c>
      <c r="D190" s="29"/>
      <c r="E190" s="29"/>
      <c r="F190" s="29"/>
      <c r="G190" s="41"/>
      <c r="H190" s="28"/>
      <c r="I190" s="28"/>
      <c r="J190" s="29"/>
      <c r="K190" s="29"/>
      <c r="L190" s="29"/>
      <c r="M190" s="29"/>
      <c r="N190" s="29"/>
      <c r="O190" s="29"/>
      <c r="P190" s="139">
        <f t="shared" si="33"/>
        <v>472366</v>
      </c>
      <c r="Q190" s="265"/>
      <c r="R190" s="24"/>
      <c r="S190" s="32"/>
      <c r="T190" s="25"/>
    </row>
    <row r="191" spans="1:20" ht="15">
      <c r="A191" s="168" t="s">
        <v>424</v>
      </c>
      <c r="B191" s="34" t="s">
        <v>606</v>
      </c>
      <c r="C191" s="29">
        <f>636042+699564</f>
        <v>1335606</v>
      </c>
      <c r="D191" s="29"/>
      <c r="E191" s="29"/>
      <c r="F191" s="29"/>
      <c r="G191" s="41"/>
      <c r="H191" s="28"/>
      <c r="I191" s="28"/>
      <c r="J191" s="29"/>
      <c r="K191" s="29"/>
      <c r="L191" s="29"/>
      <c r="M191" s="29"/>
      <c r="N191" s="29"/>
      <c r="O191" s="29"/>
      <c r="P191" s="139">
        <f t="shared" si="33"/>
        <v>1335606</v>
      </c>
      <c r="Q191" s="265"/>
      <c r="R191" s="24"/>
      <c r="S191" s="32"/>
      <c r="T191" s="25"/>
    </row>
    <row r="192" spans="1:20" ht="15">
      <c r="A192" s="168" t="s">
        <v>425</v>
      </c>
      <c r="B192" s="34" t="s">
        <v>426</v>
      </c>
      <c r="C192" s="29">
        <f>1102938+1514792</f>
        <v>2617730</v>
      </c>
      <c r="D192" s="29"/>
      <c r="E192" s="29"/>
      <c r="F192" s="29"/>
      <c r="G192" s="208"/>
      <c r="H192" s="28"/>
      <c r="I192" s="28"/>
      <c r="J192" s="29"/>
      <c r="K192" s="29"/>
      <c r="L192" s="29"/>
      <c r="M192" s="29"/>
      <c r="N192" s="29"/>
      <c r="O192" s="29"/>
      <c r="P192" s="139">
        <f t="shared" si="33"/>
        <v>2617730</v>
      </c>
      <c r="Q192" s="265"/>
      <c r="R192" s="24"/>
      <c r="S192" s="32"/>
      <c r="T192" s="25"/>
    </row>
    <row r="193" spans="1:20" ht="15">
      <c r="A193" s="168" t="s">
        <v>427</v>
      </c>
      <c r="B193" s="34" t="s">
        <v>428</v>
      </c>
      <c r="C193" s="29">
        <f>669663+1036794</f>
        <v>1706457</v>
      </c>
      <c r="D193" s="29"/>
      <c r="E193" s="29"/>
      <c r="F193" s="29"/>
      <c r="G193" s="220"/>
      <c r="H193" s="29"/>
      <c r="I193" s="29"/>
      <c r="J193" s="29"/>
      <c r="K193" s="29"/>
      <c r="L193" s="29"/>
      <c r="M193" s="29"/>
      <c r="N193" s="29"/>
      <c r="O193" s="29"/>
      <c r="P193" s="139">
        <f t="shared" si="33"/>
        <v>1706457</v>
      </c>
      <c r="Q193" s="265"/>
      <c r="R193" s="24"/>
      <c r="S193" s="32"/>
      <c r="T193" s="25"/>
    </row>
    <row r="194" spans="1:20" ht="29.25">
      <c r="A194" s="140" t="s">
        <v>429</v>
      </c>
      <c r="B194" s="81" t="s">
        <v>430</v>
      </c>
      <c r="C194" s="85">
        <f>SUM(C195:C203)</f>
        <v>4676353</v>
      </c>
      <c r="D194" s="85">
        <f aca="true" t="shared" si="36" ref="D194:O194">SUM(D195:D203)</f>
        <v>0</v>
      </c>
      <c r="E194" s="85">
        <f t="shared" si="36"/>
        <v>0</v>
      </c>
      <c r="F194" s="85">
        <f t="shared" si="36"/>
        <v>0</v>
      </c>
      <c r="G194" s="85">
        <f t="shared" si="36"/>
        <v>0</v>
      </c>
      <c r="H194" s="85">
        <f t="shared" si="36"/>
        <v>0</v>
      </c>
      <c r="I194" s="85">
        <f t="shared" si="36"/>
        <v>0</v>
      </c>
      <c r="J194" s="85">
        <f t="shared" si="36"/>
        <v>211998</v>
      </c>
      <c r="K194" s="85">
        <f t="shared" si="36"/>
        <v>0</v>
      </c>
      <c r="L194" s="85">
        <f t="shared" si="36"/>
        <v>0</v>
      </c>
      <c r="M194" s="85">
        <f t="shared" si="36"/>
        <v>0</v>
      </c>
      <c r="N194" s="85">
        <f t="shared" si="36"/>
        <v>0</v>
      </c>
      <c r="O194" s="85">
        <f t="shared" si="36"/>
        <v>0</v>
      </c>
      <c r="P194" s="139">
        <f t="shared" si="33"/>
        <v>4888351</v>
      </c>
      <c r="Q194" s="265"/>
      <c r="R194" s="24"/>
      <c r="S194" s="32"/>
      <c r="T194" s="25"/>
    </row>
    <row r="195" spans="1:20" ht="15">
      <c r="A195" s="37" t="s">
        <v>431</v>
      </c>
      <c r="B195" s="34" t="s">
        <v>432</v>
      </c>
      <c r="C195" s="29">
        <f>799449+379402+6000</f>
        <v>1184851</v>
      </c>
      <c r="D195" s="28"/>
      <c r="E195" s="29"/>
      <c r="F195" s="29"/>
      <c r="G195" s="28"/>
      <c r="H195" s="28"/>
      <c r="I195" s="28"/>
      <c r="J195" s="28"/>
      <c r="K195" s="28"/>
      <c r="L195" s="28"/>
      <c r="M195" s="28"/>
      <c r="N195" s="29"/>
      <c r="O195" s="29"/>
      <c r="P195" s="139">
        <f t="shared" si="33"/>
        <v>1184851</v>
      </c>
      <c r="Q195" s="265"/>
      <c r="R195" s="24"/>
      <c r="S195" s="32"/>
      <c r="T195" s="25"/>
    </row>
    <row r="196" spans="1:20" ht="15">
      <c r="A196" s="37" t="s">
        <v>433</v>
      </c>
      <c r="B196" s="34" t="s">
        <v>434</v>
      </c>
      <c r="C196" s="29">
        <f>308027+192446</f>
        <v>500473</v>
      </c>
      <c r="D196" s="28"/>
      <c r="E196" s="29"/>
      <c r="F196" s="29"/>
      <c r="G196" s="28"/>
      <c r="H196" s="28"/>
      <c r="I196" s="28"/>
      <c r="J196" s="28"/>
      <c r="K196" s="28"/>
      <c r="L196" s="28"/>
      <c r="M196" s="28"/>
      <c r="N196" s="29"/>
      <c r="O196" s="29"/>
      <c r="P196" s="139">
        <f t="shared" si="33"/>
        <v>500473</v>
      </c>
      <c r="Q196" s="265"/>
      <c r="R196" s="24"/>
      <c r="S196" s="32"/>
      <c r="T196" s="25"/>
    </row>
    <row r="197" spans="1:20" ht="15">
      <c r="A197" s="37" t="s">
        <v>435</v>
      </c>
      <c r="B197" s="34" t="s">
        <v>436</v>
      </c>
      <c r="C197" s="173">
        <f>428354+105532</f>
        <v>533886</v>
      </c>
      <c r="D197" s="28"/>
      <c r="E197" s="29"/>
      <c r="F197" s="29"/>
      <c r="G197" s="28"/>
      <c r="H197" s="28"/>
      <c r="I197" s="28"/>
      <c r="J197" s="28"/>
      <c r="K197" s="28"/>
      <c r="L197" s="28"/>
      <c r="M197" s="28"/>
      <c r="N197" s="29"/>
      <c r="O197" s="29"/>
      <c r="P197" s="139">
        <f aca="true" t="shared" si="37" ref="P197:P202">SUM(C197:O197)</f>
        <v>533886</v>
      </c>
      <c r="Q197" s="265"/>
      <c r="R197" s="24"/>
      <c r="S197" s="32"/>
      <c r="T197" s="25"/>
    </row>
    <row r="198" spans="1:20" ht="15">
      <c r="A198" s="37" t="s">
        <v>437</v>
      </c>
      <c r="B198" s="34" t="s">
        <v>438</v>
      </c>
      <c r="C198" s="221"/>
      <c r="D198" s="28"/>
      <c r="E198" s="29"/>
      <c r="F198" s="29"/>
      <c r="G198" s="28"/>
      <c r="H198" s="28"/>
      <c r="I198" s="28"/>
      <c r="J198" s="28">
        <v>211998</v>
      </c>
      <c r="K198" s="28"/>
      <c r="L198" s="28"/>
      <c r="M198" s="28"/>
      <c r="N198" s="29"/>
      <c r="O198" s="29"/>
      <c r="P198" s="139">
        <f t="shared" si="37"/>
        <v>211998</v>
      </c>
      <c r="Q198" s="265"/>
      <c r="R198" s="24"/>
      <c r="S198" s="32"/>
      <c r="T198" s="25"/>
    </row>
    <row r="199" spans="1:20" ht="15">
      <c r="A199" s="37" t="s">
        <v>439</v>
      </c>
      <c r="B199" s="34" t="s">
        <v>440</v>
      </c>
      <c r="C199" s="28">
        <f>787391+459395</f>
        <v>1246786</v>
      </c>
      <c r="D199" s="28"/>
      <c r="E199" s="29"/>
      <c r="F199" s="29"/>
      <c r="G199" s="28"/>
      <c r="H199" s="28"/>
      <c r="I199" s="28"/>
      <c r="J199" s="173"/>
      <c r="K199" s="28"/>
      <c r="L199" s="28"/>
      <c r="M199" s="28"/>
      <c r="N199" s="29"/>
      <c r="O199" s="29"/>
      <c r="P199" s="139">
        <f t="shared" si="37"/>
        <v>1246786</v>
      </c>
      <c r="Q199" s="265"/>
      <c r="R199" s="24"/>
      <c r="S199" s="32"/>
      <c r="T199" s="25"/>
    </row>
    <row r="200" spans="1:20" ht="15">
      <c r="A200" s="37" t="s">
        <v>441</v>
      </c>
      <c r="B200" s="34" t="s">
        <v>442</v>
      </c>
      <c r="C200" s="28">
        <f>106388+75346</f>
        <v>181734</v>
      </c>
      <c r="D200" s="28"/>
      <c r="E200" s="29"/>
      <c r="F200" s="29"/>
      <c r="G200" s="28"/>
      <c r="H200" s="28"/>
      <c r="I200" s="28"/>
      <c r="J200" s="173"/>
      <c r="K200" s="28"/>
      <c r="L200" s="28"/>
      <c r="M200" s="28"/>
      <c r="N200" s="29"/>
      <c r="O200" s="29"/>
      <c r="P200" s="139">
        <f t="shared" si="37"/>
        <v>181734</v>
      </c>
      <c r="Q200" s="265"/>
      <c r="R200" s="24"/>
      <c r="S200" s="32"/>
      <c r="T200" s="25"/>
    </row>
    <row r="201" spans="1:20" ht="15">
      <c r="A201" s="37" t="s">
        <v>443</v>
      </c>
      <c r="B201" s="34" t="s">
        <v>444</v>
      </c>
      <c r="C201" s="28">
        <f>306102+166275</f>
        <v>472377</v>
      </c>
      <c r="D201" s="28"/>
      <c r="E201" s="29"/>
      <c r="F201" s="29"/>
      <c r="G201" s="28"/>
      <c r="H201" s="28"/>
      <c r="I201" s="28"/>
      <c r="J201" s="173"/>
      <c r="K201" s="28"/>
      <c r="L201" s="28"/>
      <c r="M201" s="28"/>
      <c r="N201" s="29"/>
      <c r="O201" s="29"/>
      <c r="P201" s="139">
        <f t="shared" si="37"/>
        <v>472377</v>
      </c>
      <c r="Q201" s="265"/>
      <c r="R201" s="24"/>
      <c r="S201" s="32"/>
      <c r="T201" s="25"/>
    </row>
    <row r="202" spans="1:20" ht="15">
      <c r="A202" s="37" t="s">
        <v>445</v>
      </c>
      <c r="B202" s="34" t="s">
        <v>446</v>
      </c>
      <c r="C202" s="28">
        <f>297047+135099</f>
        <v>432146</v>
      </c>
      <c r="D202" s="28"/>
      <c r="E202" s="29"/>
      <c r="F202" s="29"/>
      <c r="G202" s="28"/>
      <c r="H202" s="28"/>
      <c r="I202" s="28"/>
      <c r="J202" s="173"/>
      <c r="K202" s="28"/>
      <c r="L202" s="28"/>
      <c r="M202" s="28"/>
      <c r="N202" s="29"/>
      <c r="O202" s="29"/>
      <c r="P202" s="139">
        <f t="shared" si="37"/>
        <v>432146</v>
      </c>
      <c r="Q202" s="265"/>
      <c r="R202" s="24"/>
      <c r="S202" s="32"/>
      <c r="T202" s="25"/>
    </row>
    <row r="203" spans="1:20" ht="30">
      <c r="A203" s="168" t="s">
        <v>429</v>
      </c>
      <c r="B203" s="34" t="s">
        <v>447</v>
      </c>
      <c r="C203" s="173">
        <f>148000-23900</f>
        <v>124100</v>
      </c>
      <c r="D203" s="28"/>
      <c r="E203" s="29"/>
      <c r="F203" s="29"/>
      <c r="G203" s="28"/>
      <c r="H203" s="28"/>
      <c r="I203" s="28"/>
      <c r="J203" s="173"/>
      <c r="K203" s="28"/>
      <c r="L203" s="28"/>
      <c r="M203" s="28"/>
      <c r="N203" s="29"/>
      <c r="O203" s="29"/>
      <c r="P203" s="139">
        <f aca="true" t="shared" si="38" ref="P203:P211">SUM(C203:O203)</f>
        <v>124100</v>
      </c>
      <c r="Q203" s="265"/>
      <c r="R203" s="24"/>
      <c r="S203" s="32"/>
      <c r="T203" s="25"/>
    </row>
    <row r="204" spans="1:20" ht="15">
      <c r="A204" s="140" t="s">
        <v>448</v>
      </c>
      <c r="B204" s="81" t="s">
        <v>449</v>
      </c>
      <c r="C204" s="82">
        <f>SUM(C205+C207+C210+C211)</f>
        <v>1984712</v>
      </c>
      <c r="D204" s="82">
        <f aca="true" t="shared" si="39" ref="D204:O204">SUM(D205+D207+D210+D211)</f>
        <v>0</v>
      </c>
      <c r="E204" s="82">
        <f t="shared" si="39"/>
        <v>0</v>
      </c>
      <c r="F204" s="82">
        <f t="shared" si="39"/>
        <v>0</v>
      </c>
      <c r="G204" s="82">
        <f t="shared" si="39"/>
        <v>179300</v>
      </c>
      <c r="H204" s="82">
        <f t="shared" si="39"/>
        <v>0</v>
      </c>
      <c r="I204" s="82">
        <f t="shared" si="39"/>
        <v>63272</v>
      </c>
      <c r="J204" s="82">
        <f t="shared" si="39"/>
        <v>147625</v>
      </c>
      <c r="K204" s="82">
        <f t="shared" si="39"/>
        <v>42752</v>
      </c>
      <c r="L204" s="82">
        <f t="shared" si="39"/>
        <v>23857</v>
      </c>
      <c r="M204" s="82">
        <f t="shared" si="39"/>
        <v>20645</v>
      </c>
      <c r="N204" s="82">
        <f t="shared" si="39"/>
        <v>52433</v>
      </c>
      <c r="O204" s="85">
        <f t="shared" si="39"/>
        <v>0</v>
      </c>
      <c r="P204" s="139">
        <f t="shared" si="38"/>
        <v>2514596</v>
      </c>
      <c r="Q204" s="265"/>
      <c r="R204" s="24"/>
      <c r="S204" s="32"/>
      <c r="T204" s="25"/>
    </row>
    <row r="205" spans="1:20" ht="15">
      <c r="A205" s="141" t="s">
        <v>450</v>
      </c>
      <c r="B205" s="222" t="s">
        <v>451</v>
      </c>
      <c r="C205" s="215">
        <f aca="true" t="shared" si="40" ref="C205:O205">C206</f>
        <v>330000</v>
      </c>
      <c r="D205" s="215">
        <f t="shared" si="40"/>
        <v>0</v>
      </c>
      <c r="E205" s="215">
        <f t="shared" si="40"/>
        <v>0</v>
      </c>
      <c r="F205" s="85">
        <f t="shared" si="40"/>
        <v>0</v>
      </c>
      <c r="G205" s="85">
        <f t="shared" si="40"/>
        <v>34185</v>
      </c>
      <c r="H205" s="85">
        <f t="shared" si="40"/>
        <v>0</v>
      </c>
      <c r="I205" s="85">
        <f t="shared" si="40"/>
        <v>24827</v>
      </c>
      <c r="J205" s="85">
        <f t="shared" si="40"/>
        <v>25186</v>
      </c>
      <c r="K205" s="85">
        <f>K206</f>
        <v>42752</v>
      </c>
      <c r="L205" s="85">
        <f>L206</f>
        <v>23857</v>
      </c>
      <c r="M205" s="85">
        <f t="shared" si="40"/>
        <v>20645</v>
      </c>
      <c r="N205" s="85">
        <f t="shared" si="40"/>
        <v>24433</v>
      </c>
      <c r="O205" s="85">
        <f t="shared" si="40"/>
        <v>0</v>
      </c>
      <c r="P205" s="139">
        <f t="shared" si="38"/>
        <v>525885</v>
      </c>
      <c r="Q205" s="265"/>
      <c r="R205" s="24"/>
      <c r="S205" s="32"/>
      <c r="T205" s="25"/>
    </row>
    <row r="206" spans="1:20" ht="15">
      <c r="A206" s="168" t="s">
        <v>452</v>
      </c>
      <c r="B206" s="170" t="s">
        <v>451</v>
      </c>
      <c r="C206" s="215">
        <v>330000</v>
      </c>
      <c r="D206" s="155"/>
      <c r="E206" s="155"/>
      <c r="F206" s="155"/>
      <c r="G206" s="173">
        <v>34185</v>
      </c>
      <c r="H206" s="173"/>
      <c r="I206" s="28">
        <v>24827</v>
      </c>
      <c r="J206" s="155">
        <v>25186</v>
      </c>
      <c r="K206" s="28">
        <v>42752</v>
      </c>
      <c r="L206" s="28">
        <v>23857</v>
      </c>
      <c r="M206" s="28">
        <v>20645</v>
      </c>
      <c r="N206" s="42">
        <v>24433</v>
      </c>
      <c r="O206" s="29"/>
      <c r="P206" s="139">
        <f t="shared" si="38"/>
        <v>525885</v>
      </c>
      <c r="Q206" s="265"/>
      <c r="R206" s="24"/>
      <c r="S206" s="32"/>
      <c r="T206" s="25"/>
    </row>
    <row r="207" spans="1:20" ht="15">
      <c r="A207" s="141" t="s">
        <v>453</v>
      </c>
      <c r="B207" s="222" t="s">
        <v>454</v>
      </c>
      <c r="C207" s="85">
        <f>SUM(C208+C209)</f>
        <v>1654712</v>
      </c>
      <c r="D207" s="85">
        <f aca="true" t="shared" si="41" ref="D207:O207">SUM(D208+D209)</f>
        <v>0</v>
      </c>
      <c r="E207" s="85">
        <f t="shared" si="41"/>
        <v>0</v>
      </c>
      <c r="F207" s="85">
        <f t="shared" si="41"/>
        <v>0</v>
      </c>
      <c r="G207" s="85">
        <f t="shared" si="41"/>
        <v>145115</v>
      </c>
      <c r="H207" s="85">
        <f t="shared" si="41"/>
        <v>0</v>
      </c>
      <c r="I207" s="85">
        <f t="shared" si="41"/>
        <v>38445</v>
      </c>
      <c r="J207" s="85">
        <f t="shared" si="41"/>
        <v>122439</v>
      </c>
      <c r="K207" s="85">
        <f t="shared" si="41"/>
        <v>0</v>
      </c>
      <c r="L207" s="85">
        <f t="shared" si="41"/>
        <v>0</v>
      </c>
      <c r="M207" s="85">
        <f t="shared" si="41"/>
        <v>0</v>
      </c>
      <c r="N207" s="85">
        <f t="shared" si="41"/>
        <v>28000</v>
      </c>
      <c r="O207" s="85">
        <f t="shared" si="41"/>
        <v>0</v>
      </c>
      <c r="P207" s="139">
        <f t="shared" si="38"/>
        <v>1988711</v>
      </c>
      <c r="Q207" s="265"/>
      <c r="R207" s="24"/>
      <c r="S207" s="32"/>
      <c r="T207" s="25"/>
    </row>
    <row r="208" spans="1:20" ht="15">
      <c r="A208" s="168" t="s">
        <v>455</v>
      </c>
      <c r="B208" s="170" t="s">
        <v>456</v>
      </c>
      <c r="C208" s="29">
        <f>339020</f>
        <v>339020</v>
      </c>
      <c r="D208" s="29"/>
      <c r="E208" s="29"/>
      <c r="F208" s="29"/>
      <c r="G208" s="28"/>
      <c r="H208" s="28"/>
      <c r="I208" s="28"/>
      <c r="J208" s="28"/>
      <c r="K208" s="28"/>
      <c r="L208" s="29"/>
      <c r="M208" s="29"/>
      <c r="N208" s="29"/>
      <c r="O208" s="29"/>
      <c r="P208" s="139">
        <f t="shared" si="38"/>
        <v>339020</v>
      </c>
      <c r="Q208" s="265"/>
      <c r="R208" s="24"/>
      <c r="S208" s="32"/>
      <c r="T208" s="25"/>
    </row>
    <row r="209" spans="1:20" ht="15">
      <c r="A209" s="168" t="s">
        <v>457</v>
      </c>
      <c r="B209" s="170" t="s">
        <v>458</v>
      </c>
      <c r="C209" s="155">
        <f>484346+340000+484346+7000</f>
        <v>1315692</v>
      </c>
      <c r="D209" s="279"/>
      <c r="E209" s="29"/>
      <c r="F209" s="29"/>
      <c r="G209" s="28">
        <v>145115</v>
      </c>
      <c r="H209" s="28"/>
      <c r="I209" s="28">
        <v>38445</v>
      </c>
      <c r="J209" s="29">
        <v>122439</v>
      </c>
      <c r="K209" s="29"/>
      <c r="L209" s="29"/>
      <c r="M209" s="29"/>
      <c r="N209" s="29">
        <v>28000</v>
      </c>
      <c r="O209" s="29"/>
      <c r="P209" s="139">
        <f t="shared" si="38"/>
        <v>1649691</v>
      </c>
      <c r="Q209" s="265"/>
      <c r="R209" s="24"/>
      <c r="S209" s="25"/>
      <c r="T209" s="25"/>
    </row>
    <row r="210" spans="1:20" ht="15">
      <c r="A210" s="198" t="s">
        <v>459</v>
      </c>
      <c r="B210" s="199" t="s">
        <v>460</v>
      </c>
      <c r="C210" s="172"/>
      <c r="D210" s="29"/>
      <c r="E210" s="29"/>
      <c r="F210" s="29"/>
      <c r="G210" s="28"/>
      <c r="H210" s="28"/>
      <c r="I210" s="28"/>
      <c r="J210" s="29"/>
      <c r="K210" s="29"/>
      <c r="L210" s="29"/>
      <c r="M210" s="29"/>
      <c r="N210" s="29"/>
      <c r="O210" s="29"/>
      <c r="P210" s="139">
        <f t="shared" si="38"/>
        <v>0</v>
      </c>
      <c r="Q210" s="265"/>
      <c r="R210" s="24"/>
      <c r="S210" s="32"/>
      <c r="T210" s="25"/>
    </row>
    <row r="211" spans="1:20" ht="15">
      <c r="A211" s="198" t="s">
        <v>461</v>
      </c>
      <c r="B211" s="199" t="s">
        <v>462</v>
      </c>
      <c r="C211" s="172"/>
      <c r="D211" s="29"/>
      <c r="E211" s="29"/>
      <c r="F211" s="29"/>
      <c r="G211" s="28"/>
      <c r="H211" s="28"/>
      <c r="I211" s="28"/>
      <c r="J211" s="29"/>
      <c r="K211" s="29"/>
      <c r="L211" s="29"/>
      <c r="M211" s="29"/>
      <c r="N211" s="29"/>
      <c r="O211" s="29"/>
      <c r="P211" s="139">
        <f t="shared" si="38"/>
        <v>0</v>
      </c>
      <c r="Q211" s="265"/>
      <c r="R211" s="24"/>
      <c r="S211" s="32"/>
      <c r="T211" s="25"/>
    </row>
    <row r="212" spans="1:20" ht="29.25">
      <c r="A212" s="140" t="s">
        <v>463</v>
      </c>
      <c r="B212" s="81" t="s">
        <v>464</v>
      </c>
      <c r="C212" s="215">
        <f>834192+50307</f>
        <v>884499</v>
      </c>
      <c r="D212" s="85"/>
      <c r="E212" s="85"/>
      <c r="F212" s="85"/>
      <c r="G212" s="82"/>
      <c r="H212" s="82"/>
      <c r="I212" s="82"/>
      <c r="J212" s="85"/>
      <c r="K212" s="85"/>
      <c r="L212" s="85"/>
      <c r="M212" s="85"/>
      <c r="N212" s="85"/>
      <c r="O212" s="85"/>
      <c r="P212" s="139">
        <f>SUM(C212:O212)</f>
        <v>884499</v>
      </c>
      <c r="Q212" s="265"/>
      <c r="R212" s="24"/>
      <c r="S212" s="32"/>
      <c r="T212" s="25"/>
    </row>
    <row r="213" spans="1:20" ht="30" thickBot="1">
      <c r="A213" s="223" t="s">
        <v>465</v>
      </c>
      <c r="B213" s="224" t="s">
        <v>466</v>
      </c>
      <c r="C213" s="225">
        <f aca="true" t="shared" si="42" ref="C213:P213">SUM(C214:C245)</f>
        <v>14731907</v>
      </c>
      <c r="D213" s="225">
        <f t="shared" si="42"/>
        <v>0</v>
      </c>
      <c r="E213" s="225">
        <f t="shared" si="42"/>
        <v>0</v>
      </c>
      <c r="F213" s="225">
        <f t="shared" si="42"/>
        <v>0</v>
      </c>
      <c r="G213" s="225">
        <f t="shared" si="42"/>
        <v>0</v>
      </c>
      <c r="H213" s="225">
        <f t="shared" si="42"/>
        <v>0</v>
      </c>
      <c r="I213" s="225">
        <f t="shared" si="42"/>
        <v>2800</v>
      </c>
      <c r="J213" s="225">
        <f t="shared" si="42"/>
        <v>69977</v>
      </c>
      <c r="K213" s="225">
        <f t="shared" si="42"/>
        <v>0</v>
      </c>
      <c r="L213" s="225">
        <f t="shared" si="42"/>
        <v>0</v>
      </c>
      <c r="M213" s="225">
        <f t="shared" si="42"/>
        <v>0</v>
      </c>
      <c r="N213" s="225">
        <f t="shared" si="42"/>
        <v>0</v>
      </c>
      <c r="O213" s="225">
        <f t="shared" si="42"/>
        <v>0</v>
      </c>
      <c r="P213" s="150">
        <f t="shared" si="42"/>
        <v>14804684</v>
      </c>
      <c r="Q213" s="265"/>
      <c r="R213" s="24"/>
      <c r="S213" s="32"/>
      <c r="T213" s="25"/>
    </row>
    <row r="214" spans="1:20" ht="30">
      <c r="A214" s="161" t="s">
        <v>467</v>
      </c>
      <c r="B214" s="162" t="s">
        <v>468</v>
      </c>
      <c r="C214" s="70">
        <v>10504</v>
      </c>
      <c r="D214" s="158"/>
      <c r="E214" s="158"/>
      <c r="F214" s="158"/>
      <c r="G214" s="218"/>
      <c r="H214" s="218"/>
      <c r="I214" s="218"/>
      <c r="J214" s="158"/>
      <c r="K214" s="158"/>
      <c r="L214" s="158"/>
      <c r="M214" s="158"/>
      <c r="N214" s="226"/>
      <c r="O214" s="132"/>
      <c r="P214" s="135">
        <f aca="true" t="shared" si="43" ref="P214:P262">SUM(C214:O214)</f>
        <v>10504</v>
      </c>
      <c r="Q214" s="265"/>
      <c r="R214" s="24"/>
      <c r="S214" s="32"/>
      <c r="T214" s="25"/>
    </row>
    <row r="215" spans="1:20" ht="30">
      <c r="A215" s="227" t="s">
        <v>469</v>
      </c>
      <c r="B215" s="228" t="s">
        <v>470</v>
      </c>
      <c r="C215" s="28">
        <v>73641</v>
      </c>
      <c r="D215" s="82"/>
      <c r="E215" s="82"/>
      <c r="F215" s="82"/>
      <c r="G215" s="82"/>
      <c r="H215" s="82"/>
      <c r="I215" s="82">
        <v>336</v>
      </c>
      <c r="J215" s="82">
        <v>793</v>
      </c>
      <c r="K215" s="82"/>
      <c r="L215" s="82"/>
      <c r="M215" s="82"/>
      <c r="N215" s="85"/>
      <c r="O215" s="85"/>
      <c r="P215" s="139">
        <f>SUM(C215:O215)</f>
        <v>74770</v>
      </c>
      <c r="Q215" s="265"/>
      <c r="R215" s="24"/>
      <c r="S215" s="32"/>
      <c r="T215" s="25"/>
    </row>
    <row r="216" spans="1:20" ht="15.75">
      <c r="A216" s="227" t="s">
        <v>471</v>
      </c>
      <c r="B216" s="229" t="s">
        <v>472</v>
      </c>
      <c r="C216" s="28">
        <v>96390</v>
      </c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5"/>
      <c r="O216" s="85"/>
      <c r="P216" s="139">
        <f t="shared" si="43"/>
        <v>96390</v>
      </c>
      <c r="Q216" s="265"/>
      <c r="R216" s="24"/>
      <c r="S216" s="32"/>
      <c r="T216" s="25"/>
    </row>
    <row r="217" spans="1:20" ht="31.5">
      <c r="A217" s="227" t="s">
        <v>473</v>
      </c>
      <c r="B217" s="229" t="s">
        <v>474</v>
      </c>
      <c r="C217" s="29">
        <v>33892</v>
      </c>
      <c r="D217" s="28"/>
      <c r="E217" s="29"/>
      <c r="F217" s="29"/>
      <c r="G217" s="28"/>
      <c r="H217" s="28"/>
      <c r="I217" s="28"/>
      <c r="J217" s="28"/>
      <c r="K217" s="28"/>
      <c r="L217" s="28"/>
      <c r="M217" s="28"/>
      <c r="N217" s="29"/>
      <c r="O217" s="29"/>
      <c r="P217" s="139">
        <f t="shared" si="43"/>
        <v>33892</v>
      </c>
      <c r="Q217" s="265"/>
      <c r="R217" s="24"/>
      <c r="S217" s="32"/>
      <c r="T217" s="25"/>
    </row>
    <row r="218" spans="1:20" ht="45">
      <c r="A218" s="227" t="s">
        <v>475</v>
      </c>
      <c r="B218" s="231" t="s">
        <v>476</v>
      </c>
      <c r="C218" s="29">
        <v>19879</v>
      </c>
      <c r="D218" s="28"/>
      <c r="E218" s="29"/>
      <c r="F218" s="29"/>
      <c r="G218" s="28"/>
      <c r="H218" s="28"/>
      <c r="I218" s="28"/>
      <c r="J218" s="28"/>
      <c r="K218" s="28"/>
      <c r="L218" s="28"/>
      <c r="M218" s="28"/>
      <c r="N218" s="29"/>
      <c r="O218" s="29"/>
      <c r="P218" s="139">
        <f t="shared" si="43"/>
        <v>19879</v>
      </c>
      <c r="Q218" s="265"/>
      <c r="R218" s="24"/>
      <c r="S218" s="32"/>
      <c r="T218" s="25"/>
    </row>
    <row r="219" spans="1:20" ht="45">
      <c r="A219" s="227" t="s">
        <v>477</v>
      </c>
      <c r="B219" s="231" t="s">
        <v>478</v>
      </c>
      <c r="C219" s="29">
        <v>14319</v>
      </c>
      <c r="D219" s="28"/>
      <c r="E219" s="29"/>
      <c r="F219" s="29"/>
      <c r="G219" s="28"/>
      <c r="H219" s="28"/>
      <c r="I219" s="28"/>
      <c r="J219" s="28"/>
      <c r="K219" s="28"/>
      <c r="L219" s="28"/>
      <c r="M219" s="28"/>
      <c r="N219" s="29"/>
      <c r="O219" s="29"/>
      <c r="P219" s="139">
        <f t="shared" si="43"/>
        <v>14319</v>
      </c>
      <c r="Q219" s="265"/>
      <c r="R219" s="24"/>
      <c r="S219" s="32"/>
      <c r="T219" s="25"/>
    </row>
    <row r="220" spans="1:20" ht="45">
      <c r="A220" s="227" t="s">
        <v>479</v>
      </c>
      <c r="B220" s="231" t="s">
        <v>480</v>
      </c>
      <c r="C220" s="29">
        <v>11004</v>
      </c>
      <c r="D220" s="28"/>
      <c r="E220" s="29"/>
      <c r="F220" s="29"/>
      <c r="G220" s="28"/>
      <c r="H220" s="28"/>
      <c r="I220" s="28"/>
      <c r="J220" s="28"/>
      <c r="K220" s="28"/>
      <c r="L220" s="28"/>
      <c r="M220" s="28"/>
      <c r="N220" s="29"/>
      <c r="O220" s="29"/>
      <c r="P220" s="139">
        <f t="shared" si="43"/>
        <v>11004</v>
      </c>
      <c r="Q220" s="265"/>
      <c r="R220" s="24"/>
      <c r="S220" s="32"/>
      <c r="T220" s="25"/>
    </row>
    <row r="221" spans="1:20" ht="45">
      <c r="A221" s="227" t="s">
        <v>481</v>
      </c>
      <c r="B221" s="231" t="s">
        <v>482</v>
      </c>
      <c r="C221" s="29">
        <v>8188</v>
      </c>
      <c r="D221" s="28"/>
      <c r="E221" s="29"/>
      <c r="F221" s="29"/>
      <c r="G221" s="28"/>
      <c r="H221" s="28"/>
      <c r="I221" s="28"/>
      <c r="J221" s="28"/>
      <c r="K221" s="28"/>
      <c r="L221" s="28"/>
      <c r="M221" s="28"/>
      <c r="N221" s="29"/>
      <c r="O221" s="29"/>
      <c r="P221" s="139">
        <f t="shared" si="43"/>
        <v>8188</v>
      </c>
      <c r="Q221" s="265"/>
      <c r="R221" s="24"/>
      <c r="S221" s="32"/>
      <c r="T221" s="25"/>
    </row>
    <row r="222" spans="1:20" ht="45">
      <c r="A222" s="227" t="s">
        <v>483</v>
      </c>
      <c r="B222" s="231" t="s">
        <v>484</v>
      </c>
      <c r="C222" s="29">
        <v>3425</v>
      </c>
      <c r="D222" s="28"/>
      <c r="E222" s="29"/>
      <c r="F222" s="29"/>
      <c r="G222" s="28"/>
      <c r="H222" s="28"/>
      <c r="I222" s="28"/>
      <c r="J222" s="28"/>
      <c r="K222" s="28"/>
      <c r="L222" s="28"/>
      <c r="M222" s="28"/>
      <c r="N222" s="29"/>
      <c r="O222" s="29"/>
      <c r="P222" s="139">
        <f t="shared" si="43"/>
        <v>3425</v>
      </c>
      <c r="Q222" s="265"/>
      <c r="R222" s="24"/>
      <c r="S222" s="32"/>
      <c r="T222" s="25"/>
    </row>
    <row r="223" spans="1:20" ht="45">
      <c r="A223" s="227" t="s">
        <v>485</v>
      </c>
      <c r="B223" s="231" t="s">
        <v>486</v>
      </c>
      <c r="C223" s="29">
        <v>63</v>
      </c>
      <c r="D223" s="28"/>
      <c r="E223" s="29"/>
      <c r="F223" s="29"/>
      <c r="G223" s="28"/>
      <c r="H223" s="28"/>
      <c r="I223" s="28"/>
      <c r="J223" s="28"/>
      <c r="K223" s="28"/>
      <c r="L223" s="28"/>
      <c r="M223" s="28"/>
      <c r="N223" s="29"/>
      <c r="O223" s="29"/>
      <c r="P223" s="139">
        <f t="shared" si="43"/>
        <v>63</v>
      </c>
      <c r="Q223" s="265"/>
      <c r="R223" s="24"/>
      <c r="S223" s="32"/>
      <c r="T223" s="25"/>
    </row>
    <row r="224" spans="1:20" ht="45">
      <c r="A224" s="227" t="s">
        <v>487</v>
      </c>
      <c r="B224" s="231" t="s">
        <v>488</v>
      </c>
      <c r="C224" s="29">
        <v>729</v>
      </c>
      <c r="D224" s="28"/>
      <c r="E224" s="29"/>
      <c r="F224" s="29"/>
      <c r="G224" s="28"/>
      <c r="H224" s="28"/>
      <c r="I224" s="28"/>
      <c r="J224" s="28"/>
      <c r="K224" s="28"/>
      <c r="L224" s="28"/>
      <c r="M224" s="28"/>
      <c r="N224" s="29"/>
      <c r="O224" s="29"/>
      <c r="P224" s="139">
        <f t="shared" si="43"/>
        <v>729</v>
      </c>
      <c r="Q224" s="265"/>
      <c r="R224" s="24"/>
      <c r="S224" s="32"/>
      <c r="T224" s="25"/>
    </row>
    <row r="225" spans="1:20" ht="45">
      <c r="A225" s="227" t="s">
        <v>489</v>
      </c>
      <c r="B225" s="231" t="s">
        <v>490</v>
      </c>
      <c r="C225" s="29">
        <v>57723</v>
      </c>
      <c r="D225" s="28"/>
      <c r="E225" s="29"/>
      <c r="F225" s="29"/>
      <c r="G225" s="28"/>
      <c r="H225" s="28"/>
      <c r="I225" s="28"/>
      <c r="J225" s="28"/>
      <c r="K225" s="28"/>
      <c r="L225" s="28"/>
      <c r="M225" s="28"/>
      <c r="N225" s="29"/>
      <c r="O225" s="29"/>
      <c r="P225" s="139">
        <f t="shared" si="43"/>
        <v>57723</v>
      </c>
      <c r="Q225" s="265"/>
      <c r="R225" s="24"/>
      <c r="S225" s="32"/>
      <c r="T225" s="25"/>
    </row>
    <row r="226" spans="1:20" ht="30">
      <c r="A226" s="227" t="s">
        <v>491</v>
      </c>
      <c r="B226" s="231" t="s">
        <v>492</v>
      </c>
      <c r="C226" s="29">
        <v>4073624</v>
      </c>
      <c r="D226" s="28"/>
      <c r="E226" s="29"/>
      <c r="F226" s="29"/>
      <c r="G226" s="28"/>
      <c r="H226" s="28"/>
      <c r="I226" s="28"/>
      <c r="J226" s="28"/>
      <c r="K226" s="28"/>
      <c r="L226" s="28"/>
      <c r="M226" s="28"/>
      <c r="N226" s="29"/>
      <c r="O226" s="29"/>
      <c r="P226" s="139">
        <f t="shared" si="43"/>
        <v>4073624</v>
      </c>
      <c r="Q226" s="265"/>
      <c r="R226" s="24"/>
      <c r="S226" s="32"/>
      <c r="T226" s="25"/>
    </row>
    <row r="227" spans="1:20" ht="30">
      <c r="A227" s="227" t="s">
        <v>620</v>
      </c>
      <c r="B227" s="231" t="s">
        <v>621</v>
      </c>
      <c r="C227" s="29">
        <v>116898</v>
      </c>
      <c r="D227" s="28"/>
      <c r="E227" s="29"/>
      <c r="F227" s="29"/>
      <c r="G227" s="28"/>
      <c r="H227" s="28"/>
      <c r="I227" s="28"/>
      <c r="J227" s="28"/>
      <c r="K227" s="28"/>
      <c r="L227" s="28"/>
      <c r="M227" s="28"/>
      <c r="N227" s="29"/>
      <c r="O227" s="29"/>
      <c r="P227" s="139">
        <f t="shared" si="43"/>
        <v>116898</v>
      </c>
      <c r="Q227" s="265"/>
      <c r="R227" s="24"/>
      <c r="S227" s="32"/>
      <c r="T227" s="25"/>
    </row>
    <row r="228" spans="1:20" ht="30">
      <c r="A228" s="165" t="s">
        <v>493</v>
      </c>
      <c r="B228" s="231" t="s">
        <v>494</v>
      </c>
      <c r="C228" s="29">
        <v>5000</v>
      </c>
      <c r="D228" s="28"/>
      <c r="E228" s="29"/>
      <c r="F228" s="29"/>
      <c r="G228" s="28"/>
      <c r="H228" s="28"/>
      <c r="I228" s="28"/>
      <c r="J228" s="28"/>
      <c r="K228" s="28"/>
      <c r="L228" s="28"/>
      <c r="M228" s="28"/>
      <c r="N228" s="29"/>
      <c r="O228" s="29"/>
      <c r="P228" s="139">
        <f t="shared" si="43"/>
        <v>5000</v>
      </c>
      <c r="Q228" s="265"/>
      <c r="R228" s="24"/>
      <c r="S228" s="32"/>
      <c r="T228" s="25"/>
    </row>
    <row r="229" spans="1:20" ht="30">
      <c r="A229" s="37" t="s">
        <v>495</v>
      </c>
      <c r="B229" s="230" t="s">
        <v>496</v>
      </c>
      <c r="C229" s="29">
        <v>8369421</v>
      </c>
      <c r="D229" s="28"/>
      <c r="E229" s="29"/>
      <c r="F229" s="29"/>
      <c r="G229" s="28"/>
      <c r="H229" s="28"/>
      <c r="I229" s="28"/>
      <c r="J229" s="28"/>
      <c r="K229" s="28"/>
      <c r="L229" s="28"/>
      <c r="M229" s="28"/>
      <c r="N229" s="29"/>
      <c r="O229" s="29"/>
      <c r="P229" s="139">
        <f t="shared" si="43"/>
        <v>8369421</v>
      </c>
      <c r="Q229" s="265"/>
      <c r="R229" s="24"/>
      <c r="S229" s="32"/>
      <c r="T229" s="25"/>
    </row>
    <row r="230" spans="1:20" ht="30">
      <c r="A230" s="37" t="s">
        <v>497</v>
      </c>
      <c r="B230" s="232" t="s">
        <v>498</v>
      </c>
      <c r="C230" s="29">
        <v>110000</v>
      </c>
      <c r="D230" s="29"/>
      <c r="E230" s="29"/>
      <c r="F230" s="29"/>
      <c r="G230" s="28"/>
      <c r="H230" s="49"/>
      <c r="I230" s="49">
        <v>2464</v>
      </c>
      <c r="J230" s="49"/>
      <c r="K230" s="49"/>
      <c r="L230" s="49"/>
      <c r="M230" s="49"/>
      <c r="N230" s="53"/>
      <c r="O230" s="29"/>
      <c r="P230" s="139">
        <f t="shared" si="43"/>
        <v>112464</v>
      </c>
      <c r="Q230" s="265"/>
      <c r="R230" s="24"/>
      <c r="S230" s="32"/>
      <c r="T230" s="25"/>
    </row>
    <row r="231" spans="1:20" ht="45">
      <c r="A231" s="233" t="s">
        <v>499</v>
      </c>
      <c r="B231" s="234" t="s">
        <v>500</v>
      </c>
      <c r="C231" s="28">
        <v>2049</v>
      </c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9"/>
      <c r="O231" s="29"/>
      <c r="P231" s="139">
        <f t="shared" si="43"/>
        <v>2049</v>
      </c>
      <c r="Q231" s="265"/>
      <c r="R231" s="24"/>
      <c r="S231" s="32"/>
      <c r="T231" s="25"/>
    </row>
    <row r="232" spans="1:20" ht="45">
      <c r="A232" s="233" t="s">
        <v>501</v>
      </c>
      <c r="B232" s="234" t="s">
        <v>502</v>
      </c>
      <c r="C232" s="28">
        <v>6486</v>
      </c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9"/>
      <c r="O232" s="29"/>
      <c r="P232" s="139">
        <f t="shared" si="43"/>
        <v>6486</v>
      </c>
      <c r="Q232" s="265"/>
      <c r="R232" s="24"/>
      <c r="S232" s="32"/>
      <c r="T232" s="25"/>
    </row>
    <row r="233" spans="1:20" ht="45">
      <c r="A233" s="233" t="s">
        <v>503</v>
      </c>
      <c r="B233" s="234" t="s">
        <v>504</v>
      </c>
      <c r="C233" s="28">
        <v>7165</v>
      </c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70"/>
      <c r="O233" s="29"/>
      <c r="P233" s="139">
        <f t="shared" si="43"/>
        <v>7165</v>
      </c>
      <c r="Q233" s="265"/>
      <c r="R233" s="24"/>
      <c r="S233" s="32"/>
      <c r="T233" s="25"/>
    </row>
    <row r="234" spans="1:20" ht="45">
      <c r="A234" s="233" t="s">
        <v>505</v>
      </c>
      <c r="B234" s="234" t="s">
        <v>506</v>
      </c>
      <c r="C234" s="28">
        <v>7633</v>
      </c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9"/>
      <c r="O234" s="29"/>
      <c r="P234" s="139">
        <f t="shared" si="43"/>
        <v>7633</v>
      </c>
      <c r="Q234" s="265"/>
      <c r="R234" s="24"/>
      <c r="S234" s="32"/>
      <c r="T234" s="25"/>
    </row>
    <row r="235" spans="1:20" ht="30">
      <c r="A235" s="233" t="s">
        <v>507</v>
      </c>
      <c r="B235" s="234" t="s">
        <v>508</v>
      </c>
      <c r="C235" s="28">
        <v>8516</v>
      </c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70"/>
      <c r="O235" s="29"/>
      <c r="P235" s="139">
        <f t="shared" si="43"/>
        <v>8516</v>
      </c>
      <c r="Q235" s="265"/>
      <c r="R235" s="24"/>
      <c r="S235" s="32"/>
      <c r="T235" s="25"/>
    </row>
    <row r="236" spans="1:20" ht="45">
      <c r="A236" s="174" t="s">
        <v>509</v>
      </c>
      <c r="B236" s="235" t="s">
        <v>510</v>
      </c>
      <c r="C236" s="29">
        <v>11610</v>
      </c>
      <c r="D236" s="29"/>
      <c r="E236" s="29"/>
      <c r="F236" s="29"/>
      <c r="G236" s="28"/>
      <c r="H236" s="29"/>
      <c r="I236" s="29"/>
      <c r="J236" s="29"/>
      <c r="K236" s="29"/>
      <c r="L236" s="29"/>
      <c r="M236" s="29"/>
      <c r="N236" s="29"/>
      <c r="O236" s="29"/>
      <c r="P236" s="139">
        <f t="shared" si="43"/>
        <v>11610</v>
      </c>
      <c r="Q236" s="265"/>
      <c r="R236" s="24"/>
      <c r="S236" s="32"/>
      <c r="T236" s="25"/>
    </row>
    <row r="237" spans="1:20" ht="45">
      <c r="A237" s="174" t="s">
        <v>511</v>
      </c>
      <c r="B237" s="235" t="s">
        <v>512</v>
      </c>
      <c r="C237" s="29">
        <v>12439</v>
      </c>
      <c r="D237" s="29"/>
      <c r="E237" s="29"/>
      <c r="F237" s="29"/>
      <c r="G237" s="28"/>
      <c r="H237" s="29"/>
      <c r="I237" s="29"/>
      <c r="J237" s="29"/>
      <c r="K237" s="29"/>
      <c r="L237" s="29"/>
      <c r="M237" s="29"/>
      <c r="N237" s="29"/>
      <c r="O237" s="29"/>
      <c r="P237" s="139">
        <f t="shared" si="43"/>
        <v>12439</v>
      </c>
      <c r="Q237" s="265"/>
      <c r="R237" s="24"/>
      <c r="S237" s="32"/>
      <c r="T237" s="25"/>
    </row>
    <row r="238" spans="1:20" ht="30">
      <c r="A238" s="179" t="s">
        <v>513</v>
      </c>
      <c r="B238" s="234" t="s">
        <v>514</v>
      </c>
      <c r="C238" s="28">
        <v>10876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9"/>
      <c r="P238" s="139">
        <f t="shared" si="43"/>
        <v>10876</v>
      </c>
      <c r="Q238" s="265"/>
      <c r="R238" s="24"/>
      <c r="S238" s="32"/>
      <c r="T238" s="25"/>
    </row>
    <row r="239" spans="1:20" ht="30">
      <c r="A239" s="179" t="s">
        <v>515</v>
      </c>
      <c r="B239" s="235" t="s">
        <v>516</v>
      </c>
      <c r="C239" s="28">
        <v>1480802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9"/>
      <c r="P239" s="31">
        <f t="shared" si="43"/>
        <v>1480802</v>
      </c>
      <c r="Q239" s="265"/>
      <c r="R239" s="24"/>
      <c r="S239" s="32"/>
      <c r="T239" s="25"/>
    </row>
    <row r="240" spans="1:20" ht="30">
      <c r="A240" s="179" t="s">
        <v>517</v>
      </c>
      <c r="B240" s="235" t="s">
        <v>518</v>
      </c>
      <c r="C240" s="28"/>
      <c r="D240" s="28"/>
      <c r="E240" s="28"/>
      <c r="F240" s="28"/>
      <c r="G240" s="28"/>
      <c r="H240" s="28"/>
      <c r="I240" s="28"/>
      <c r="J240" s="28">
        <v>69184</v>
      </c>
      <c r="K240" s="28"/>
      <c r="L240" s="28"/>
      <c r="M240" s="28"/>
      <c r="N240" s="28"/>
      <c r="O240" s="29"/>
      <c r="P240" s="31">
        <f t="shared" si="43"/>
        <v>69184</v>
      </c>
      <c r="Q240" s="265"/>
      <c r="R240" s="24"/>
      <c r="S240" s="32"/>
      <c r="T240" s="25"/>
    </row>
    <row r="241" spans="1:20" ht="30">
      <c r="A241" s="179" t="s">
        <v>519</v>
      </c>
      <c r="B241" s="235" t="s">
        <v>520</v>
      </c>
      <c r="C241" s="28">
        <v>10000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9"/>
      <c r="P241" s="31">
        <f t="shared" si="43"/>
        <v>10000</v>
      </c>
      <c r="Q241" s="265"/>
      <c r="R241" s="24"/>
      <c r="S241" s="32"/>
      <c r="T241" s="25"/>
    </row>
    <row r="242" spans="1:20" ht="15">
      <c r="A242" s="179" t="s">
        <v>521</v>
      </c>
      <c r="B242" s="235" t="s">
        <v>522</v>
      </c>
      <c r="C242" s="28">
        <v>14000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9"/>
      <c r="P242" s="31">
        <f t="shared" si="43"/>
        <v>14000</v>
      </c>
      <c r="Q242" s="265"/>
      <c r="R242" s="24"/>
      <c r="S242" s="32"/>
      <c r="T242" s="25"/>
    </row>
    <row r="243" spans="1:20" ht="45">
      <c r="A243" s="179" t="s">
        <v>523</v>
      </c>
      <c r="B243" s="235" t="s">
        <v>524</v>
      </c>
      <c r="C243" s="28">
        <v>135378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9"/>
      <c r="P243" s="31">
        <f t="shared" si="43"/>
        <v>135378</v>
      </c>
      <c r="Q243" s="265"/>
      <c r="R243" s="24"/>
      <c r="S243" s="32"/>
      <c r="T243" s="25"/>
    </row>
    <row r="244" spans="1:20" ht="45">
      <c r="A244" s="179" t="s">
        <v>622</v>
      </c>
      <c r="B244" s="235" t="s">
        <v>623</v>
      </c>
      <c r="C244" s="28">
        <v>13398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9"/>
      <c r="P244" s="31">
        <f t="shared" si="43"/>
        <v>13398</v>
      </c>
      <c r="Q244" s="265"/>
      <c r="R244" s="24"/>
      <c r="S244" s="32"/>
      <c r="T244" s="25"/>
    </row>
    <row r="245" spans="1:20" ht="15.75" thickBot="1">
      <c r="A245" s="242" t="s">
        <v>624</v>
      </c>
      <c r="B245" s="236" t="s">
        <v>625</v>
      </c>
      <c r="C245" s="70">
        <v>6855</v>
      </c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150">
        <f t="shared" si="43"/>
        <v>6855</v>
      </c>
      <c r="Q245" s="265"/>
      <c r="R245" s="24"/>
      <c r="S245" s="32"/>
      <c r="T245" s="25"/>
    </row>
    <row r="246" spans="1:20" ht="15.75" thickBot="1">
      <c r="A246" s="71" t="s">
        <v>525</v>
      </c>
      <c r="B246" s="22" t="s">
        <v>526</v>
      </c>
      <c r="C246" s="56">
        <f>SUM(C247+C248+C249+C261)</f>
        <v>9558260</v>
      </c>
      <c r="D246" s="56">
        <f aca="true" t="shared" si="44" ref="D246:O246">SUM(D247+D248+D249+D261)</f>
        <v>53353</v>
      </c>
      <c r="E246" s="56">
        <f t="shared" si="44"/>
        <v>0</v>
      </c>
      <c r="F246" s="56">
        <f t="shared" si="44"/>
        <v>0</v>
      </c>
      <c r="G246" s="56">
        <f t="shared" si="44"/>
        <v>57422</v>
      </c>
      <c r="H246" s="56">
        <f t="shared" si="44"/>
        <v>0</v>
      </c>
      <c r="I246" s="56">
        <f t="shared" si="44"/>
        <v>2100</v>
      </c>
      <c r="J246" s="56">
        <f t="shared" si="44"/>
        <v>838938</v>
      </c>
      <c r="K246" s="56">
        <f t="shared" si="44"/>
        <v>0</v>
      </c>
      <c r="L246" s="56">
        <f t="shared" si="44"/>
        <v>3000</v>
      </c>
      <c r="M246" s="56">
        <f t="shared" si="44"/>
        <v>6050</v>
      </c>
      <c r="N246" s="56">
        <f t="shared" si="44"/>
        <v>3054</v>
      </c>
      <c r="O246" s="56">
        <f t="shared" si="44"/>
        <v>0</v>
      </c>
      <c r="P246" s="57">
        <f t="shared" si="43"/>
        <v>10522177</v>
      </c>
      <c r="Q246" s="265"/>
      <c r="R246" s="24"/>
      <c r="S246" s="32"/>
      <c r="T246" s="25"/>
    </row>
    <row r="247" spans="1:20" ht="29.25">
      <c r="A247" s="130" t="s">
        <v>527</v>
      </c>
      <c r="B247" s="131" t="s">
        <v>528</v>
      </c>
      <c r="C247" s="132">
        <v>447464</v>
      </c>
      <c r="D247" s="79"/>
      <c r="E247" s="132"/>
      <c r="F247" s="132"/>
      <c r="G247" s="79">
        <v>400</v>
      </c>
      <c r="H247" s="79"/>
      <c r="I247" s="79"/>
      <c r="J247" s="79">
        <v>1480</v>
      </c>
      <c r="K247" s="79"/>
      <c r="L247" s="79"/>
      <c r="M247" s="79"/>
      <c r="N247" s="132"/>
      <c r="O247" s="85"/>
      <c r="P247" s="139">
        <f t="shared" si="43"/>
        <v>449344</v>
      </c>
      <c r="Q247" s="265"/>
      <c r="R247" s="24"/>
      <c r="S247" s="32"/>
      <c r="T247" s="25"/>
    </row>
    <row r="248" spans="1:20" ht="15">
      <c r="A248" s="130" t="s">
        <v>529</v>
      </c>
      <c r="B248" s="131" t="s">
        <v>530</v>
      </c>
      <c r="C248" s="132">
        <v>38225</v>
      </c>
      <c r="D248" s="132"/>
      <c r="E248" s="132"/>
      <c r="F248" s="132"/>
      <c r="G248" s="79"/>
      <c r="H248" s="79"/>
      <c r="I248" s="79"/>
      <c r="J248" s="79">
        <v>3000</v>
      </c>
      <c r="K248" s="138"/>
      <c r="L248" s="138">
        <v>3000</v>
      </c>
      <c r="M248" s="132"/>
      <c r="N248" s="132">
        <v>3000</v>
      </c>
      <c r="O248" s="85"/>
      <c r="P248" s="139">
        <f t="shared" si="43"/>
        <v>47225</v>
      </c>
      <c r="Q248" s="265"/>
      <c r="R248" s="24"/>
      <c r="S248" s="32"/>
      <c r="T248" s="25"/>
    </row>
    <row r="249" spans="1:20" ht="30.75" customHeight="1">
      <c r="A249" s="140" t="s">
        <v>531</v>
      </c>
      <c r="B249" s="81" t="s">
        <v>532</v>
      </c>
      <c r="C249" s="82">
        <f aca="true" t="shared" si="45" ref="C249:O249">SUM(C250:C260)</f>
        <v>8557571</v>
      </c>
      <c r="D249" s="82">
        <f t="shared" si="45"/>
        <v>53353</v>
      </c>
      <c r="E249" s="82">
        <f t="shared" si="45"/>
        <v>0</v>
      </c>
      <c r="F249" s="82">
        <f t="shared" si="45"/>
        <v>0</v>
      </c>
      <c r="G249" s="82">
        <f t="shared" si="45"/>
        <v>830</v>
      </c>
      <c r="H249" s="82">
        <f t="shared" si="45"/>
        <v>0</v>
      </c>
      <c r="I249" s="82">
        <f t="shared" si="45"/>
        <v>2100</v>
      </c>
      <c r="J249" s="82">
        <f t="shared" si="45"/>
        <v>834458</v>
      </c>
      <c r="K249" s="82">
        <f t="shared" si="45"/>
        <v>0</v>
      </c>
      <c r="L249" s="82">
        <f t="shared" si="45"/>
        <v>0</v>
      </c>
      <c r="M249" s="82">
        <f t="shared" si="45"/>
        <v>6050</v>
      </c>
      <c r="N249" s="82">
        <f t="shared" si="45"/>
        <v>54</v>
      </c>
      <c r="O249" s="82">
        <f t="shared" si="45"/>
        <v>0</v>
      </c>
      <c r="P249" s="139">
        <f t="shared" si="43"/>
        <v>9454416</v>
      </c>
      <c r="Q249" s="265"/>
      <c r="R249" s="24"/>
      <c r="S249" s="32"/>
      <c r="T249" s="25"/>
    </row>
    <row r="250" spans="1:20" ht="30.75" customHeight="1">
      <c r="A250" s="37" t="s">
        <v>533</v>
      </c>
      <c r="B250" s="34" t="s">
        <v>534</v>
      </c>
      <c r="C250" s="29">
        <v>2366088</v>
      </c>
      <c r="D250" s="28">
        <v>53353</v>
      </c>
      <c r="E250" s="29"/>
      <c r="F250" s="29"/>
      <c r="G250" s="89">
        <v>830</v>
      </c>
      <c r="H250" s="28"/>
      <c r="I250" s="28"/>
      <c r="J250" s="28">
        <v>2724</v>
      </c>
      <c r="K250" s="28"/>
      <c r="L250" s="28"/>
      <c r="M250" s="89">
        <v>6050</v>
      </c>
      <c r="N250" s="42">
        <v>54</v>
      </c>
      <c r="O250" s="29"/>
      <c r="P250" s="139">
        <f t="shared" si="43"/>
        <v>2429099</v>
      </c>
      <c r="Q250" s="265"/>
      <c r="R250" s="24"/>
      <c r="S250" s="32"/>
      <c r="T250" s="25"/>
    </row>
    <row r="251" spans="1:20" ht="15">
      <c r="A251" s="37" t="s">
        <v>535</v>
      </c>
      <c r="B251" s="34" t="s">
        <v>536</v>
      </c>
      <c r="C251" s="29">
        <v>2956435</v>
      </c>
      <c r="D251" s="28"/>
      <c r="E251" s="29"/>
      <c r="F251" s="29"/>
      <c r="G251" s="89"/>
      <c r="H251" s="28"/>
      <c r="I251" s="28"/>
      <c r="J251" s="28"/>
      <c r="K251" s="237"/>
      <c r="L251" s="28"/>
      <c r="M251" s="89"/>
      <c r="N251" s="42"/>
      <c r="O251" s="29"/>
      <c r="P251" s="139">
        <f t="shared" si="43"/>
        <v>2956435</v>
      </c>
      <c r="Q251" s="265"/>
      <c r="R251" s="24"/>
      <c r="S251" s="32"/>
      <c r="T251" s="25"/>
    </row>
    <row r="252" spans="1:20" ht="30.75" customHeight="1">
      <c r="A252" s="37" t="s">
        <v>537</v>
      </c>
      <c r="B252" s="34" t="s">
        <v>538</v>
      </c>
      <c r="C252" s="29">
        <v>925000</v>
      </c>
      <c r="D252" s="28"/>
      <c r="E252" s="29"/>
      <c r="F252" s="29"/>
      <c r="G252" s="28"/>
      <c r="H252" s="28"/>
      <c r="I252" s="28"/>
      <c r="J252" s="28"/>
      <c r="K252" s="28"/>
      <c r="L252" s="28"/>
      <c r="M252" s="28"/>
      <c r="N252" s="29"/>
      <c r="O252" s="29"/>
      <c r="P252" s="139">
        <f t="shared" si="43"/>
        <v>925000</v>
      </c>
      <c r="Q252" s="265"/>
      <c r="R252" s="24"/>
      <c r="S252" s="32"/>
      <c r="T252" s="25"/>
    </row>
    <row r="253" spans="1:20" ht="15">
      <c r="A253" s="37" t="s">
        <v>539</v>
      </c>
      <c r="B253" s="34" t="s">
        <v>540</v>
      </c>
      <c r="C253" s="29"/>
      <c r="D253" s="28"/>
      <c r="E253" s="29"/>
      <c r="F253" s="29"/>
      <c r="G253" s="28"/>
      <c r="H253" s="28"/>
      <c r="I253" s="28"/>
      <c r="J253" s="28">
        <v>825032</v>
      </c>
      <c r="K253" s="28"/>
      <c r="L253" s="28"/>
      <c r="M253" s="28"/>
      <c r="N253" s="29"/>
      <c r="O253" s="29"/>
      <c r="P253" s="139">
        <f t="shared" si="43"/>
        <v>825032</v>
      </c>
      <c r="Q253" s="265"/>
      <c r="R253" s="24"/>
      <c r="S253" s="32"/>
      <c r="T253" s="25"/>
    </row>
    <row r="254" spans="1:20" ht="30">
      <c r="A254" s="37" t="s">
        <v>541</v>
      </c>
      <c r="B254" s="238" t="s">
        <v>542</v>
      </c>
      <c r="C254" s="28">
        <v>121800</v>
      </c>
      <c r="D254" s="28"/>
      <c r="E254" s="29"/>
      <c r="F254" s="29"/>
      <c r="G254" s="28"/>
      <c r="H254" s="28"/>
      <c r="I254" s="28"/>
      <c r="J254" s="28"/>
      <c r="K254" s="28"/>
      <c r="L254" s="28"/>
      <c r="M254" s="28"/>
      <c r="N254" s="29"/>
      <c r="O254" s="29"/>
      <c r="P254" s="139">
        <f t="shared" si="43"/>
        <v>121800</v>
      </c>
      <c r="Q254" s="265"/>
      <c r="R254" s="24"/>
      <c r="S254" s="32"/>
      <c r="T254" s="25"/>
    </row>
    <row r="255" spans="1:20" ht="31.5">
      <c r="A255" s="174" t="s">
        <v>543</v>
      </c>
      <c r="B255" s="239" t="s">
        <v>544</v>
      </c>
      <c r="C255" s="29">
        <v>30000</v>
      </c>
      <c r="D255" s="28"/>
      <c r="E255" s="29"/>
      <c r="F255" s="29"/>
      <c r="G255" s="28"/>
      <c r="H255" s="28"/>
      <c r="I255" s="28"/>
      <c r="J255" s="29"/>
      <c r="K255" s="29"/>
      <c r="L255" s="29"/>
      <c r="M255" s="29"/>
      <c r="N255" s="29"/>
      <c r="O255" s="29"/>
      <c r="P255" s="139">
        <f t="shared" si="43"/>
        <v>30000</v>
      </c>
      <c r="Q255" s="265"/>
      <c r="R255" s="24"/>
      <c r="S255" s="32"/>
      <c r="T255" s="25"/>
    </row>
    <row r="256" spans="1:20" ht="15">
      <c r="A256" s="37" t="s">
        <v>545</v>
      </c>
      <c r="B256" s="34" t="s">
        <v>546</v>
      </c>
      <c r="C256" s="29">
        <v>86080</v>
      </c>
      <c r="D256" s="28"/>
      <c r="E256" s="29"/>
      <c r="F256" s="29"/>
      <c r="G256" s="28"/>
      <c r="H256" s="28"/>
      <c r="I256" s="28">
        <v>2100</v>
      </c>
      <c r="J256" s="29">
        <v>6702</v>
      </c>
      <c r="K256" s="29"/>
      <c r="L256" s="29"/>
      <c r="M256" s="29"/>
      <c r="N256" s="29"/>
      <c r="O256" s="29"/>
      <c r="P256" s="139">
        <f t="shared" si="43"/>
        <v>94882</v>
      </c>
      <c r="Q256" s="265"/>
      <c r="R256" s="24"/>
      <c r="S256" s="32"/>
      <c r="T256" s="25"/>
    </row>
    <row r="257" spans="1:20" ht="45">
      <c r="A257" s="37" t="s">
        <v>547</v>
      </c>
      <c r="B257" s="230" t="s">
        <v>548</v>
      </c>
      <c r="C257" s="29">
        <v>346607</v>
      </c>
      <c r="D257" s="28"/>
      <c r="E257" s="29"/>
      <c r="F257" s="29"/>
      <c r="G257" s="28"/>
      <c r="H257" s="28"/>
      <c r="I257" s="28"/>
      <c r="J257" s="29"/>
      <c r="K257" s="29"/>
      <c r="L257" s="29"/>
      <c r="M257" s="29"/>
      <c r="N257" s="29"/>
      <c r="O257" s="29"/>
      <c r="P257" s="139">
        <f t="shared" si="43"/>
        <v>346607</v>
      </c>
      <c r="Q257" s="265"/>
      <c r="R257" s="24"/>
      <c r="S257" s="32"/>
      <c r="T257" s="25"/>
    </row>
    <row r="258" spans="1:20" ht="30">
      <c r="A258" s="165" t="s">
        <v>549</v>
      </c>
      <c r="B258" s="166" t="s">
        <v>638</v>
      </c>
      <c r="C258" s="28">
        <v>1658252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9"/>
      <c r="O258" s="29"/>
      <c r="P258" s="139">
        <f t="shared" si="43"/>
        <v>1658252</v>
      </c>
      <c r="Q258" s="265"/>
      <c r="R258" s="24"/>
      <c r="S258" s="32"/>
      <c r="T258" s="25"/>
    </row>
    <row r="259" spans="1:20" ht="30">
      <c r="A259" s="165" t="s">
        <v>550</v>
      </c>
      <c r="B259" s="175" t="s">
        <v>551</v>
      </c>
      <c r="C259" s="29">
        <v>19937</v>
      </c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139">
        <f>SUM(C259:O259)</f>
        <v>19937</v>
      </c>
      <c r="Q259" s="265"/>
      <c r="R259" s="24"/>
      <c r="S259" s="32"/>
      <c r="T259" s="25"/>
    </row>
    <row r="260" spans="1:20" ht="30">
      <c r="A260" s="165" t="s">
        <v>612</v>
      </c>
      <c r="B260" s="175" t="s">
        <v>551</v>
      </c>
      <c r="C260" s="29">
        <v>47372</v>
      </c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139">
        <f t="shared" si="43"/>
        <v>47372</v>
      </c>
      <c r="Q260" s="265"/>
      <c r="R260" s="24"/>
      <c r="S260" s="32"/>
      <c r="T260" s="25"/>
    </row>
    <row r="261" spans="1:20" ht="29.25">
      <c r="A261" s="240" t="s">
        <v>552</v>
      </c>
      <c r="B261" s="241" t="s">
        <v>553</v>
      </c>
      <c r="C261" s="85">
        <f>SUM(C262:C263)</f>
        <v>515000</v>
      </c>
      <c r="D261" s="29">
        <f aca="true" t="shared" si="46" ref="D261:O261">SUM(D262:D263)</f>
        <v>0</v>
      </c>
      <c r="E261" s="29">
        <f t="shared" si="46"/>
        <v>0</v>
      </c>
      <c r="F261" s="29">
        <f t="shared" si="46"/>
        <v>0</v>
      </c>
      <c r="G261" s="29">
        <f t="shared" si="46"/>
        <v>56192</v>
      </c>
      <c r="H261" s="29">
        <f t="shared" si="46"/>
        <v>0</v>
      </c>
      <c r="I261" s="29">
        <f t="shared" si="46"/>
        <v>0</v>
      </c>
      <c r="J261" s="29">
        <f t="shared" si="46"/>
        <v>0</v>
      </c>
      <c r="K261" s="29">
        <f t="shared" si="46"/>
        <v>0</v>
      </c>
      <c r="L261" s="29">
        <f t="shared" si="46"/>
        <v>0</v>
      </c>
      <c r="M261" s="29">
        <f t="shared" si="46"/>
        <v>0</v>
      </c>
      <c r="N261" s="29">
        <f>SUM(N262:N263)</f>
        <v>0</v>
      </c>
      <c r="O261" s="29">
        <f t="shared" si="46"/>
        <v>0</v>
      </c>
      <c r="P261" s="139">
        <f t="shared" si="43"/>
        <v>571192</v>
      </c>
      <c r="Q261" s="265"/>
      <c r="R261" s="24"/>
      <c r="S261" s="32"/>
      <c r="T261" s="25"/>
    </row>
    <row r="262" spans="1:20" ht="45">
      <c r="A262" s="179" t="s">
        <v>554</v>
      </c>
      <c r="B262" s="230" t="s">
        <v>555</v>
      </c>
      <c r="C262" s="155">
        <f>365000+30000</f>
        <v>395000</v>
      </c>
      <c r="D262" s="29"/>
      <c r="E262" s="29"/>
      <c r="F262" s="29"/>
      <c r="G262" s="29">
        <v>56192</v>
      </c>
      <c r="H262" s="29"/>
      <c r="I262" s="29"/>
      <c r="J262" s="29"/>
      <c r="K262" s="29"/>
      <c r="L262" s="29"/>
      <c r="M262" s="29"/>
      <c r="N262" s="29"/>
      <c r="O262" s="36"/>
      <c r="P262" s="139">
        <f t="shared" si="43"/>
        <v>451192</v>
      </c>
      <c r="Q262" s="265"/>
      <c r="R262" s="24"/>
      <c r="S262" s="32"/>
      <c r="T262" s="25"/>
    </row>
    <row r="263" spans="1:20" ht="30.75" thickBot="1">
      <c r="A263" s="242" t="s">
        <v>556</v>
      </c>
      <c r="B263" s="243" t="s">
        <v>557</v>
      </c>
      <c r="C263" s="282">
        <v>120000</v>
      </c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139">
        <f aca="true" t="shared" si="47" ref="P263:P268">SUM(C263:O263)</f>
        <v>120000</v>
      </c>
      <c r="Q263" s="265"/>
      <c r="R263" s="24"/>
      <c r="S263" s="32"/>
      <c r="T263" s="25"/>
    </row>
    <row r="264" spans="1:20" ht="15.75" thickBot="1">
      <c r="A264" s="244"/>
      <c r="B264" s="22" t="s">
        <v>558</v>
      </c>
      <c r="C264" s="56">
        <f aca="true" t="shared" si="48" ref="C264:O264">C7+C16+C22+C56+C68+C100+C106+C156+C246</f>
        <v>98979909</v>
      </c>
      <c r="D264" s="56">
        <f t="shared" si="48"/>
        <v>4195774</v>
      </c>
      <c r="E264" s="56">
        <f t="shared" si="48"/>
        <v>2111130</v>
      </c>
      <c r="F264" s="23">
        <f t="shared" si="48"/>
        <v>585642</v>
      </c>
      <c r="G264" s="23">
        <f t="shared" si="48"/>
        <v>2256955</v>
      </c>
      <c r="H264" s="23">
        <f t="shared" si="48"/>
        <v>574218</v>
      </c>
      <c r="I264" s="23">
        <f t="shared" si="48"/>
        <v>1215666</v>
      </c>
      <c r="J264" s="56">
        <f t="shared" si="48"/>
        <v>3701019</v>
      </c>
      <c r="K264" s="56">
        <f t="shared" si="48"/>
        <v>434145</v>
      </c>
      <c r="L264" s="56">
        <f t="shared" si="48"/>
        <v>390382</v>
      </c>
      <c r="M264" s="56">
        <f t="shared" si="48"/>
        <v>413536</v>
      </c>
      <c r="N264" s="56">
        <f t="shared" si="48"/>
        <v>1165492</v>
      </c>
      <c r="O264" s="23">
        <f t="shared" si="48"/>
        <v>540043</v>
      </c>
      <c r="P264" s="57">
        <f t="shared" si="47"/>
        <v>116563911</v>
      </c>
      <c r="Q264" s="265"/>
      <c r="R264" s="24"/>
      <c r="S264" s="32"/>
      <c r="T264" s="25"/>
    </row>
    <row r="265" spans="1:20" ht="15">
      <c r="A265" s="112" t="s">
        <v>559</v>
      </c>
      <c r="B265" s="122" t="s">
        <v>560</v>
      </c>
      <c r="C265" s="117">
        <v>5989068</v>
      </c>
      <c r="D265" s="117"/>
      <c r="E265" s="117"/>
      <c r="F265" s="24"/>
      <c r="G265" s="24"/>
      <c r="H265" s="117"/>
      <c r="I265" s="117"/>
      <c r="J265" s="117"/>
      <c r="K265" s="117"/>
      <c r="L265" s="117"/>
      <c r="M265" s="117"/>
      <c r="N265" s="117"/>
      <c r="O265" s="117"/>
      <c r="P265" s="24">
        <f t="shared" si="47"/>
        <v>5989068</v>
      </c>
      <c r="Q265" s="265"/>
      <c r="R265" s="24"/>
      <c r="S265" s="32"/>
      <c r="T265" s="25"/>
    </row>
    <row r="266" spans="1:20" ht="29.25">
      <c r="A266" s="112" t="s">
        <v>561</v>
      </c>
      <c r="B266" s="245" t="s">
        <v>562</v>
      </c>
      <c r="C266" s="271">
        <v>683978</v>
      </c>
      <c r="D266" s="117"/>
      <c r="E266" s="117"/>
      <c r="F266" s="24"/>
      <c r="G266" s="117"/>
      <c r="H266" s="117"/>
      <c r="I266" s="117"/>
      <c r="J266" s="117"/>
      <c r="K266" s="117"/>
      <c r="L266" s="117"/>
      <c r="M266" s="117"/>
      <c r="N266" s="117"/>
      <c r="O266" s="117"/>
      <c r="P266" s="24">
        <f t="shared" si="47"/>
        <v>683978</v>
      </c>
      <c r="Q266" s="265"/>
      <c r="R266" s="24"/>
      <c r="S266" s="32"/>
      <c r="T266" s="25"/>
    </row>
    <row r="267" spans="1:20" ht="29.25">
      <c r="A267" s="112" t="s">
        <v>561</v>
      </c>
      <c r="B267" s="245" t="s">
        <v>563</v>
      </c>
      <c r="C267" s="116"/>
      <c r="D267" s="116"/>
      <c r="E267" s="116"/>
      <c r="F267" s="93"/>
      <c r="G267" s="116"/>
      <c r="H267" s="116"/>
      <c r="I267" s="116"/>
      <c r="J267" s="116"/>
      <c r="K267" s="116"/>
      <c r="L267" s="116"/>
      <c r="M267" s="116"/>
      <c r="N267" s="116"/>
      <c r="O267" s="116"/>
      <c r="P267" s="24">
        <f t="shared" si="47"/>
        <v>0</v>
      </c>
      <c r="Q267" s="265"/>
      <c r="R267" s="24"/>
      <c r="S267" s="32"/>
      <c r="T267" s="25"/>
    </row>
    <row r="268" spans="1:20" ht="29.25">
      <c r="A268" s="112"/>
      <c r="B268" s="245" t="s">
        <v>564</v>
      </c>
      <c r="C268" s="116"/>
      <c r="D268" s="116"/>
      <c r="E268" s="116"/>
      <c r="F268" s="93"/>
      <c r="G268" s="116"/>
      <c r="H268" s="116"/>
      <c r="I268" s="116"/>
      <c r="J268" s="116"/>
      <c r="K268" s="116"/>
      <c r="L268" s="116"/>
      <c r="M268" s="116"/>
      <c r="N268" s="116"/>
      <c r="O268" s="116"/>
      <c r="P268" s="24">
        <f t="shared" si="47"/>
        <v>0</v>
      </c>
      <c r="Q268" s="265"/>
      <c r="R268" s="24"/>
      <c r="S268" s="32"/>
      <c r="T268" s="25"/>
    </row>
    <row r="269" spans="1:20" ht="28.5" customHeight="1">
      <c r="A269" s="246" t="s">
        <v>565</v>
      </c>
      <c r="B269" s="247" t="s">
        <v>566</v>
      </c>
      <c r="C269" s="116">
        <v>680000</v>
      </c>
      <c r="D269" s="116">
        <v>1038183</v>
      </c>
      <c r="E269" s="116"/>
      <c r="F269" s="93">
        <v>125558</v>
      </c>
      <c r="G269" s="116">
        <v>17323</v>
      </c>
      <c r="H269" s="116">
        <v>18479</v>
      </c>
      <c r="I269" s="116">
        <v>6380</v>
      </c>
      <c r="J269" s="116"/>
      <c r="K269" s="116"/>
      <c r="L269" s="116">
        <v>764</v>
      </c>
      <c r="M269" s="116">
        <v>818</v>
      </c>
      <c r="N269" s="116"/>
      <c r="O269" s="116"/>
      <c r="P269" s="24">
        <f>SUM(C269:O269)</f>
        <v>1887505</v>
      </c>
      <c r="Q269" s="265"/>
      <c r="R269" s="24"/>
      <c r="S269" s="32"/>
      <c r="T269" s="25"/>
    </row>
    <row r="270" spans="1:20" ht="30">
      <c r="A270" s="248" t="s">
        <v>567</v>
      </c>
      <c r="B270" s="249" t="s">
        <v>568</v>
      </c>
      <c r="C270" s="24">
        <v>9675792</v>
      </c>
      <c r="D270" s="24">
        <v>-923996</v>
      </c>
      <c r="E270" s="24">
        <v>-1615766</v>
      </c>
      <c r="F270" s="24">
        <v>-90615</v>
      </c>
      <c r="G270" s="24">
        <v>-1733633</v>
      </c>
      <c r="H270" s="24">
        <v>-301143</v>
      </c>
      <c r="I270" s="24">
        <v>-774984</v>
      </c>
      <c r="J270" s="24">
        <v>-2065232</v>
      </c>
      <c r="K270" s="24">
        <v>-219997</v>
      </c>
      <c r="L270" s="24">
        <v>-267898</v>
      </c>
      <c r="M270" s="24">
        <v>-307132</v>
      </c>
      <c r="N270" s="24">
        <v>-955396</v>
      </c>
      <c r="O270" s="24">
        <v>-420000</v>
      </c>
      <c r="P270" s="24">
        <v>0</v>
      </c>
      <c r="Q270" s="265"/>
      <c r="R270" s="24"/>
      <c r="S270" s="32"/>
      <c r="T270" s="25"/>
    </row>
    <row r="271" spans="1:20" ht="47.25" customHeight="1">
      <c r="A271" s="116"/>
      <c r="B271" s="250"/>
      <c r="C271" s="24"/>
      <c r="D271" s="24"/>
      <c r="E271" s="24"/>
      <c r="F271" s="24"/>
      <c r="G271" s="24"/>
      <c r="H271" s="251"/>
      <c r="I271" s="24"/>
      <c r="J271" s="251"/>
      <c r="K271" s="24"/>
      <c r="L271" s="24"/>
      <c r="M271" s="24"/>
      <c r="N271" s="24"/>
      <c r="O271" s="24"/>
      <c r="P271" s="24"/>
      <c r="Q271" s="265"/>
      <c r="R271" s="24"/>
      <c r="S271" s="32"/>
      <c r="T271" s="25"/>
    </row>
    <row r="272" spans="1:20" ht="47.25" customHeight="1">
      <c r="A272" s="116"/>
      <c r="B272" s="2" t="s">
        <v>77</v>
      </c>
      <c r="C272" s="116"/>
      <c r="D272" s="116" t="s">
        <v>78</v>
      </c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252"/>
      <c r="Q272" s="265"/>
      <c r="R272" s="24"/>
      <c r="S272" s="32"/>
      <c r="T272" s="25"/>
    </row>
    <row r="273" spans="1:20" ht="15">
      <c r="A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252"/>
      <c r="Q273" s="265"/>
      <c r="R273" s="24"/>
      <c r="S273" s="32"/>
      <c r="T273" s="25"/>
    </row>
    <row r="274" spans="1:20" ht="47.25" customHeight="1">
      <c r="A274" s="116"/>
      <c r="B274" s="253"/>
      <c r="C274" s="116"/>
      <c r="D274" s="116"/>
      <c r="E274" s="116"/>
      <c r="F274" s="116"/>
      <c r="G274" s="116"/>
      <c r="H274" s="116"/>
      <c r="I274" s="116"/>
      <c r="J274" s="116"/>
      <c r="K274" s="254"/>
      <c r="L274" s="116"/>
      <c r="M274" s="116"/>
      <c r="N274" s="116"/>
      <c r="O274" s="116"/>
      <c r="P274" s="117"/>
      <c r="Q274" s="265"/>
      <c r="R274" s="24"/>
      <c r="S274" s="32"/>
      <c r="T274" s="25"/>
    </row>
    <row r="275" spans="1:20" ht="21" thickBot="1">
      <c r="A275" s="288" t="s">
        <v>604</v>
      </c>
      <c r="B275" s="288"/>
      <c r="C275" s="288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7"/>
      <c r="Q275" s="265"/>
      <c r="R275" s="24"/>
      <c r="S275" s="32"/>
      <c r="T275" s="25"/>
    </row>
    <row r="276" spans="1:20" ht="135.75" thickBot="1">
      <c r="A276" s="123" t="s">
        <v>3</v>
      </c>
      <c r="B276" s="124" t="s">
        <v>4</v>
      </c>
      <c r="C276" s="12" t="s">
        <v>589</v>
      </c>
      <c r="D276" s="125" t="s">
        <v>590</v>
      </c>
      <c r="E276" s="14" t="s">
        <v>605</v>
      </c>
      <c r="F276" s="14" t="s">
        <v>592</v>
      </c>
      <c r="G276" s="15" t="s">
        <v>593</v>
      </c>
      <c r="H276" s="15" t="s">
        <v>594</v>
      </c>
      <c r="I276" s="15" t="s">
        <v>595</v>
      </c>
      <c r="J276" s="15" t="s">
        <v>596</v>
      </c>
      <c r="K276" s="15" t="s">
        <v>597</v>
      </c>
      <c r="L276" s="15" t="s">
        <v>598</v>
      </c>
      <c r="M276" s="15" t="s">
        <v>599</v>
      </c>
      <c r="N276" s="15" t="s">
        <v>600</v>
      </c>
      <c r="O276" s="255" t="s">
        <v>5</v>
      </c>
      <c r="P276" s="128" t="s">
        <v>601</v>
      </c>
      <c r="Q276" s="265"/>
      <c r="R276" s="24"/>
      <c r="S276" s="32"/>
      <c r="T276" s="25"/>
    </row>
    <row r="277" spans="1:20" ht="15">
      <c r="A277" s="256">
        <v>1100</v>
      </c>
      <c r="B277" s="73" t="s">
        <v>569</v>
      </c>
      <c r="C277" s="100">
        <v>32858925</v>
      </c>
      <c r="D277" s="100">
        <v>1111417</v>
      </c>
      <c r="E277" s="100">
        <v>936809</v>
      </c>
      <c r="F277" s="257">
        <v>82454</v>
      </c>
      <c r="G277" s="258">
        <v>1107959</v>
      </c>
      <c r="H277" s="100">
        <v>159157</v>
      </c>
      <c r="I277" s="100">
        <v>541177</v>
      </c>
      <c r="J277" s="100">
        <v>1766475</v>
      </c>
      <c r="K277" s="100">
        <v>144819</v>
      </c>
      <c r="L277" s="100">
        <v>182214</v>
      </c>
      <c r="M277" s="100">
        <v>160300</v>
      </c>
      <c r="N277" s="100">
        <v>595367</v>
      </c>
      <c r="O277" s="259">
        <v>232069</v>
      </c>
      <c r="P277" s="260">
        <f aca="true" t="shared" si="49" ref="P277:P295">SUM(C277:O277)</f>
        <v>39879142</v>
      </c>
      <c r="Q277" s="265"/>
      <c r="R277" s="24"/>
      <c r="S277" s="32"/>
      <c r="T277" s="25"/>
    </row>
    <row r="278" spans="1:20" ht="45">
      <c r="A278" s="80">
        <v>1200</v>
      </c>
      <c r="B278" s="34" t="s">
        <v>570</v>
      </c>
      <c r="C278" s="28">
        <v>9886362</v>
      </c>
      <c r="D278" s="28">
        <v>297464</v>
      </c>
      <c r="E278" s="28">
        <v>280910</v>
      </c>
      <c r="F278" s="261">
        <v>25295</v>
      </c>
      <c r="G278" s="208">
        <v>357150</v>
      </c>
      <c r="H278" s="28">
        <v>49077</v>
      </c>
      <c r="I278" s="28">
        <v>165780</v>
      </c>
      <c r="J278" s="28">
        <v>526432</v>
      </c>
      <c r="K278" s="28">
        <v>44544</v>
      </c>
      <c r="L278" s="28">
        <v>57316</v>
      </c>
      <c r="M278" s="28">
        <v>46456</v>
      </c>
      <c r="N278" s="28">
        <v>174436</v>
      </c>
      <c r="O278" s="262">
        <v>71018</v>
      </c>
      <c r="P278" s="139">
        <f t="shared" si="49"/>
        <v>11982240</v>
      </c>
      <c r="Q278" s="265"/>
      <c r="R278" s="24"/>
      <c r="S278" s="32"/>
      <c r="T278" s="25"/>
    </row>
    <row r="279" spans="1:20" ht="15">
      <c r="A279" s="80">
        <v>2000</v>
      </c>
      <c r="B279" s="34" t="s">
        <v>571</v>
      </c>
      <c r="C279" s="28">
        <f aca="true" t="shared" si="50" ref="C279:O279">SUM(C280:C284)</f>
        <v>20027107</v>
      </c>
      <c r="D279" s="28">
        <f t="shared" si="50"/>
        <v>2177330</v>
      </c>
      <c r="E279" s="28">
        <f t="shared" si="50"/>
        <v>812272</v>
      </c>
      <c r="F279" s="28">
        <f t="shared" si="50"/>
        <v>477893</v>
      </c>
      <c r="G279" s="35">
        <f t="shared" si="50"/>
        <v>742336</v>
      </c>
      <c r="H279" s="28">
        <f t="shared" si="50"/>
        <v>359264</v>
      </c>
      <c r="I279" s="28">
        <f t="shared" si="50"/>
        <v>459791</v>
      </c>
      <c r="J279" s="28">
        <f t="shared" si="50"/>
        <v>1337905</v>
      </c>
      <c r="K279" s="28">
        <f t="shared" si="50"/>
        <v>227946</v>
      </c>
      <c r="L279" s="28">
        <f t="shared" si="50"/>
        <v>146352</v>
      </c>
      <c r="M279" s="28">
        <f t="shared" si="50"/>
        <v>202780</v>
      </c>
      <c r="N279" s="28">
        <f t="shared" si="50"/>
        <v>375689</v>
      </c>
      <c r="O279" s="262">
        <f t="shared" si="50"/>
        <v>156483</v>
      </c>
      <c r="P279" s="139">
        <f t="shared" si="49"/>
        <v>27503148</v>
      </c>
      <c r="Q279" s="265"/>
      <c r="R279" s="24"/>
      <c r="S279" s="32"/>
      <c r="T279" s="25"/>
    </row>
    <row r="280" spans="1:20" ht="30">
      <c r="A280" s="80">
        <v>2100</v>
      </c>
      <c r="B280" s="34" t="s">
        <v>572</v>
      </c>
      <c r="C280" s="28">
        <v>217978</v>
      </c>
      <c r="D280" s="28">
        <v>2500</v>
      </c>
      <c r="E280" s="28"/>
      <c r="F280" s="28"/>
      <c r="G280" s="35">
        <v>530</v>
      </c>
      <c r="H280" s="28">
        <v>60</v>
      </c>
      <c r="I280" s="28"/>
      <c r="J280" s="28">
        <v>58687</v>
      </c>
      <c r="K280" s="28"/>
      <c r="L280" s="28"/>
      <c r="M280" s="173"/>
      <c r="N280" s="28">
        <v>150</v>
      </c>
      <c r="O280" s="262">
        <v>800</v>
      </c>
      <c r="P280" s="139">
        <f t="shared" si="49"/>
        <v>280705</v>
      </c>
      <c r="Q280" s="265"/>
      <c r="R280" s="24"/>
      <c r="S280" s="32"/>
      <c r="T280" s="25"/>
    </row>
    <row r="281" spans="1:20" ht="15">
      <c r="A281" s="80">
        <v>2200</v>
      </c>
      <c r="B281" s="34" t="s">
        <v>573</v>
      </c>
      <c r="C281" s="28">
        <f>15022751+5000-65000</f>
        <v>14962751</v>
      </c>
      <c r="D281" s="28">
        <v>1660930</v>
      </c>
      <c r="E281" s="28">
        <v>633502</v>
      </c>
      <c r="F281" s="28">
        <v>453479</v>
      </c>
      <c r="G281" s="35">
        <v>490924</v>
      </c>
      <c r="H281" s="173">
        <v>302518</v>
      </c>
      <c r="I281" s="28">
        <v>336100</v>
      </c>
      <c r="J281" s="173">
        <v>901278</v>
      </c>
      <c r="K281" s="28">
        <v>156670</v>
      </c>
      <c r="L281" s="28">
        <v>92652</v>
      </c>
      <c r="M281" s="173">
        <v>156780</v>
      </c>
      <c r="N281" s="28">
        <v>299883</v>
      </c>
      <c r="O281" s="262">
        <v>117701</v>
      </c>
      <c r="P281" s="139">
        <f t="shared" si="49"/>
        <v>20565168</v>
      </c>
      <c r="Q281" s="265"/>
      <c r="R281" s="24"/>
      <c r="S281" s="32"/>
      <c r="T281" s="25"/>
    </row>
    <row r="282" spans="1:20" ht="30">
      <c r="A282" s="80">
        <v>2300</v>
      </c>
      <c r="B282" s="34" t="s">
        <v>574</v>
      </c>
      <c r="C282" s="28">
        <v>4699861</v>
      </c>
      <c r="D282" s="28">
        <v>244136</v>
      </c>
      <c r="E282" s="28">
        <v>171770</v>
      </c>
      <c r="F282" s="28">
        <v>12679</v>
      </c>
      <c r="G282" s="35">
        <v>248782</v>
      </c>
      <c r="H282" s="28">
        <v>52075</v>
      </c>
      <c r="I282" s="28">
        <v>118641</v>
      </c>
      <c r="J282" s="173">
        <v>368872</v>
      </c>
      <c r="K282" s="28">
        <v>66896</v>
      </c>
      <c r="L282" s="28">
        <v>51200</v>
      </c>
      <c r="M282" s="28">
        <v>44500</v>
      </c>
      <c r="N282" s="28">
        <v>72723</v>
      </c>
      <c r="O282" s="262">
        <v>37732</v>
      </c>
      <c r="P282" s="139">
        <f t="shared" si="49"/>
        <v>6189867</v>
      </c>
      <c r="Q282" s="265"/>
      <c r="R282" s="24"/>
      <c r="S282" s="32"/>
      <c r="T282" s="25"/>
    </row>
    <row r="283" spans="1:20" ht="15">
      <c r="A283" s="80">
        <v>2400</v>
      </c>
      <c r="B283" s="34" t="s">
        <v>575</v>
      </c>
      <c r="C283" s="28">
        <v>20487</v>
      </c>
      <c r="D283" s="28"/>
      <c r="E283" s="28"/>
      <c r="F283" s="28"/>
      <c r="G283" s="35">
        <v>1950</v>
      </c>
      <c r="H283" s="28">
        <v>550</v>
      </c>
      <c r="I283" s="28">
        <v>600</v>
      </c>
      <c r="J283" s="28">
        <v>1337</v>
      </c>
      <c r="K283" s="28">
        <v>1400</v>
      </c>
      <c r="L283" s="28">
        <v>1200</v>
      </c>
      <c r="M283" s="28">
        <v>800</v>
      </c>
      <c r="N283" s="28">
        <v>1502</v>
      </c>
      <c r="O283" s="262"/>
      <c r="P283" s="139">
        <f t="shared" si="49"/>
        <v>29826</v>
      </c>
      <c r="Q283" s="265"/>
      <c r="R283" s="24"/>
      <c r="S283" s="32"/>
      <c r="T283" s="25"/>
    </row>
    <row r="284" spans="1:20" ht="15">
      <c r="A284" s="80">
        <v>2500</v>
      </c>
      <c r="B284" s="34" t="s">
        <v>576</v>
      </c>
      <c r="C284" s="28">
        <v>126030</v>
      </c>
      <c r="D284" s="28">
        <v>269764</v>
      </c>
      <c r="E284" s="28">
        <v>7000</v>
      </c>
      <c r="F284" s="28">
        <v>11735</v>
      </c>
      <c r="G284" s="35">
        <v>150</v>
      </c>
      <c r="H284" s="28">
        <v>4061</v>
      </c>
      <c r="I284" s="28">
        <v>4450</v>
      </c>
      <c r="J284" s="28">
        <v>7731</v>
      </c>
      <c r="K284" s="28">
        <v>2980</v>
      </c>
      <c r="L284" s="28">
        <v>1300</v>
      </c>
      <c r="M284" s="28">
        <v>700</v>
      </c>
      <c r="N284" s="28">
        <v>1431</v>
      </c>
      <c r="O284" s="262">
        <v>250</v>
      </c>
      <c r="P284" s="139">
        <f t="shared" si="49"/>
        <v>437582</v>
      </c>
      <c r="Q284" s="265"/>
      <c r="R284" s="24"/>
      <c r="S284" s="32"/>
      <c r="T284" s="25"/>
    </row>
    <row r="285" spans="1:20" ht="30">
      <c r="A285" s="80">
        <v>3200</v>
      </c>
      <c r="B285" s="34" t="s">
        <v>577</v>
      </c>
      <c r="C285" s="28">
        <v>5799023</v>
      </c>
      <c r="D285" s="28"/>
      <c r="E285" s="28"/>
      <c r="F285" s="28"/>
      <c r="G285" s="35"/>
      <c r="H285" s="28"/>
      <c r="I285" s="28"/>
      <c r="J285" s="28"/>
      <c r="K285" s="28"/>
      <c r="L285" s="28"/>
      <c r="M285" s="28"/>
      <c r="N285" s="28"/>
      <c r="O285" s="262"/>
      <c r="P285" s="139">
        <f t="shared" si="49"/>
        <v>5799023</v>
      </c>
      <c r="Q285" s="265"/>
      <c r="R285" s="24"/>
      <c r="S285" s="32"/>
      <c r="T285" s="25"/>
    </row>
    <row r="286" spans="1:20" ht="15">
      <c r="A286" s="80">
        <v>4200</v>
      </c>
      <c r="B286" s="34" t="s">
        <v>578</v>
      </c>
      <c r="C286" s="28"/>
      <c r="D286" s="28"/>
      <c r="E286" s="28"/>
      <c r="F286" s="28"/>
      <c r="G286" s="35"/>
      <c r="H286" s="28"/>
      <c r="I286" s="28"/>
      <c r="J286" s="28"/>
      <c r="K286" s="28"/>
      <c r="L286" s="28"/>
      <c r="M286" s="28"/>
      <c r="N286" s="28"/>
      <c r="O286" s="262"/>
      <c r="P286" s="139">
        <f t="shared" si="49"/>
        <v>0</v>
      </c>
      <c r="Q286" s="265"/>
      <c r="R286" s="24"/>
      <c r="S286" s="32"/>
      <c r="T286" s="25"/>
    </row>
    <row r="287" spans="1:20" ht="15">
      <c r="A287" s="80">
        <v>4300</v>
      </c>
      <c r="B287" s="34" t="s">
        <v>579</v>
      </c>
      <c r="C287" s="28">
        <v>2652985</v>
      </c>
      <c r="D287" s="28"/>
      <c r="E287" s="28"/>
      <c r="F287" s="28"/>
      <c r="G287" s="35"/>
      <c r="H287" s="28"/>
      <c r="I287" s="28"/>
      <c r="J287" s="28"/>
      <c r="K287" s="28"/>
      <c r="L287" s="28"/>
      <c r="M287" s="28"/>
      <c r="N287" s="28"/>
      <c r="O287" s="262"/>
      <c r="P287" s="139">
        <f t="shared" si="49"/>
        <v>2652985</v>
      </c>
      <c r="Q287" s="265"/>
      <c r="R287" s="24"/>
      <c r="S287" s="32"/>
      <c r="T287" s="25"/>
    </row>
    <row r="288" spans="1:20" ht="15">
      <c r="A288" s="80">
        <v>5100</v>
      </c>
      <c r="B288" s="34" t="s">
        <v>580</v>
      </c>
      <c r="C288" s="28">
        <v>135880</v>
      </c>
      <c r="D288" s="28">
        <v>12260</v>
      </c>
      <c r="E288" s="28">
        <v>5584</v>
      </c>
      <c r="F288" s="28"/>
      <c r="G288" s="35"/>
      <c r="H288" s="28"/>
      <c r="I288" s="28">
        <v>200</v>
      </c>
      <c r="J288" s="28"/>
      <c r="K288" s="28"/>
      <c r="L288" s="28"/>
      <c r="M288" s="28"/>
      <c r="N288" s="28"/>
      <c r="O288" s="262"/>
      <c r="P288" s="139">
        <f t="shared" si="49"/>
        <v>153924</v>
      </c>
      <c r="Q288" s="265"/>
      <c r="R288" s="24"/>
      <c r="S288" s="32"/>
      <c r="T288" s="25"/>
    </row>
    <row r="289" spans="1:20" ht="15">
      <c r="A289" s="80">
        <v>5200</v>
      </c>
      <c r="B289" s="34" t="s">
        <v>581</v>
      </c>
      <c r="C289" s="28">
        <f>22604574+65000</f>
        <v>22669574</v>
      </c>
      <c r="D289" s="28">
        <v>597303</v>
      </c>
      <c r="E289" s="28">
        <v>75555</v>
      </c>
      <c r="F289" s="28"/>
      <c r="G289" s="35">
        <v>49510</v>
      </c>
      <c r="H289" s="28">
        <v>6720</v>
      </c>
      <c r="I289" s="28">
        <v>48718</v>
      </c>
      <c r="J289" s="28">
        <v>66707</v>
      </c>
      <c r="K289" s="28">
        <v>16836</v>
      </c>
      <c r="L289" s="28">
        <v>1500</v>
      </c>
      <c r="M289" s="28">
        <v>4000</v>
      </c>
      <c r="N289" s="28">
        <v>17000</v>
      </c>
      <c r="O289" s="262">
        <v>80473</v>
      </c>
      <c r="P289" s="139">
        <f t="shared" si="49"/>
        <v>23633896</v>
      </c>
      <c r="Q289" s="265"/>
      <c r="R289" s="24"/>
      <c r="S289" s="32"/>
      <c r="T289" s="25"/>
    </row>
    <row r="290" spans="1:20" ht="15">
      <c r="A290" s="80">
        <v>6200</v>
      </c>
      <c r="B290" s="34" t="s">
        <v>582</v>
      </c>
      <c r="C290" s="28">
        <f>1357593-5000</f>
        <v>1352593</v>
      </c>
      <c r="D290" s="28"/>
      <c r="E290" s="28"/>
      <c r="F290" s="28"/>
      <c r="G290" s="35"/>
      <c r="H290" s="28"/>
      <c r="I290" s="28"/>
      <c r="J290" s="28">
        <v>3000</v>
      </c>
      <c r="K290" s="237"/>
      <c r="L290" s="28">
        <v>3000</v>
      </c>
      <c r="M290" s="28"/>
      <c r="N290" s="28">
        <v>3000</v>
      </c>
      <c r="O290" s="262"/>
      <c r="P290" s="139">
        <f t="shared" si="49"/>
        <v>1361593</v>
      </c>
      <c r="Q290" s="265"/>
      <c r="R290" s="24"/>
      <c r="S290" s="32"/>
      <c r="T290" s="25"/>
    </row>
    <row r="291" spans="1:20" ht="15">
      <c r="A291" s="80">
        <v>6300</v>
      </c>
      <c r="B291" s="34" t="s">
        <v>583</v>
      </c>
      <c r="C291" s="28">
        <v>832723</v>
      </c>
      <c r="D291" s="28"/>
      <c r="E291" s="28"/>
      <c r="F291" s="28"/>
      <c r="G291" s="35"/>
      <c r="H291" s="28"/>
      <c r="I291" s="28"/>
      <c r="J291" s="28"/>
      <c r="K291" s="28"/>
      <c r="L291" s="28"/>
      <c r="M291" s="28"/>
      <c r="N291" s="28"/>
      <c r="O291" s="262"/>
      <c r="P291" s="139">
        <f t="shared" si="49"/>
        <v>832723</v>
      </c>
      <c r="Q291" s="265"/>
      <c r="R291" s="24"/>
      <c r="S291" s="32"/>
      <c r="T291" s="25"/>
    </row>
    <row r="292" spans="1:20" ht="30">
      <c r="A292" s="80">
        <v>6400</v>
      </c>
      <c r="B292" s="34" t="s">
        <v>584</v>
      </c>
      <c r="C292" s="28">
        <v>1701357</v>
      </c>
      <c r="D292" s="28"/>
      <c r="E292" s="28"/>
      <c r="F292" s="28"/>
      <c r="G292" s="35"/>
      <c r="H292" s="28"/>
      <c r="I292" s="28"/>
      <c r="J292" s="28">
        <v>500</v>
      </c>
      <c r="K292" s="28"/>
      <c r="L292" s="28"/>
      <c r="M292" s="28"/>
      <c r="N292" s="28"/>
      <c r="O292" s="262"/>
      <c r="P292" s="139">
        <f t="shared" si="49"/>
        <v>1701857</v>
      </c>
      <c r="Q292" s="265"/>
      <c r="R292" s="24"/>
      <c r="S292" s="32"/>
      <c r="T292" s="25"/>
    </row>
    <row r="293" spans="1:20" ht="30">
      <c r="A293" s="80">
        <v>6500</v>
      </c>
      <c r="B293" s="34" t="s">
        <v>585</v>
      </c>
      <c r="C293" s="28"/>
      <c r="D293" s="28"/>
      <c r="E293" s="28"/>
      <c r="F293" s="28"/>
      <c r="G293" s="35"/>
      <c r="H293" s="28"/>
      <c r="I293" s="28"/>
      <c r="J293" s="28"/>
      <c r="K293" s="28"/>
      <c r="L293" s="28"/>
      <c r="M293" s="28"/>
      <c r="N293" s="28"/>
      <c r="O293" s="262"/>
      <c r="P293" s="139">
        <f t="shared" si="49"/>
        <v>0</v>
      </c>
      <c r="Q293" s="265"/>
      <c r="R293" s="24"/>
      <c r="S293" s="32"/>
      <c r="T293" s="25"/>
    </row>
    <row r="294" spans="1:20" ht="15.75" thickBot="1">
      <c r="A294" s="80">
        <v>7200</v>
      </c>
      <c r="B294" s="34" t="s">
        <v>586</v>
      </c>
      <c r="C294" s="28">
        <v>1063380</v>
      </c>
      <c r="D294" s="28"/>
      <c r="E294" s="28"/>
      <c r="F294" s="28"/>
      <c r="G294" s="35"/>
      <c r="H294" s="28"/>
      <c r="I294" s="28"/>
      <c r="J294" s="28"/>
      <c r="K294" s="28"/>
      <c r="L294" s="28"/>
      <c r="M294" s="28"/>
      <c r="N294" s="28"/>
      <c r="O294" s="262"/>
      <c r="P294" s="139">
        <f t="shared" si="49"/>
        <v>1063380</v>
      </c>
      <c r="Q294" s="265"/>
      <c r="R294" s="24"/>
      <c r="S294" s="32"/>
      <c r="T294" s="25"/>
    </row>
    <row r="295" spans="1:20" ht="15.75" thickBot="1">
      <c r="A295" s="244"/>
      <c r="B295" s="192" t="s">
        <v>587</v>
      </c>
      <c r="C295" s="263">
        <f aca="true" t="shared" si="51" ref="C295:O295">SUM(C277:C279,C285:C294)</f>
        <v>98979909</v>
      </c>
      <c r="D295" s="263">
        <f t="shared" si="51"/>
        <v>4195774</v>
      </c>
      <c r="E295" s="263">
        <f t="shared" si="51"/>
        <v>2111130</v>
      </c>
      <c r="F295" s="263">
        <f t="shared" si="51"/>
        <v>585642</v>
      </c>
      <c r="G295" s="263">
        <f t="shared" si="51"/>
        <v>2256955</v>
      </c>
      <c r="H295" s="263">
        <f t="shared" si="51"/>
        <v>574218</v>
      </c>
      <c r="I295" s="263">
        <f t="shared" si="51"/>
        <v>1215666</v>
      </c>
      <c r="J295" s="263">
        <f t="shared" si="51"/>
        <v>3701019</v>
      </c>
      <c r="K295" s="263">
        <f t="shared" si="51"/>
        <v>434145</v>
      </c>
      <c r="L295" s="263">
        <f t="shared" si="51"/>
        <v>390382</v>
      </c>
      <c r="M295" s="263">
        <f t="shared" si="51"/>
        <v>413536</v>
      </c>
      <c r="N295" s="263">
        <f t="shared" si="51"/>
        <v>1165492</v>
      </c>
      <c r="O295" s="263">
        <f t="shared" si="51"/>
        <v>540043</v>
      </c>
      <c r="P295" s="57">
        <f t="shared" si="49"/>
        <v>116563911</v>
      </c>
      <c r="Q295" s="265"/>
      <c r="R295" s="24"/>
      <c r="S295" s="25"/>
      <c r="T295" s="25"/>
    </row>
    <row r="296" spans="2:20" ht="15">
      <c r="B296" s="19" t="s">
        <v>77</v>
      </c>
      <c r="C296" s="9"/>
      <c r="D296" s="116" t="s">
        <v>78</v>
      </c>
      <c r="E296" s="116"/>
      <c r="F296" s="116"/>
      <c r="Q296" s="265"/>
      <c r="R296" s="24"/>
      <c r="S296" s="32"/>
      <c r="T296" s="25"/>
    </row>
    <row r="297" spans="2:20" ht="16.5" customHeight="1">
      <c r="B297" s="264"/>
      <c r="C297" s="9"/>
      <c r="D297" s="116"/>
      <c r="E297" s="116"/>
      <c r="F297" s="116"/>
      <c r="P297" s="117"/>
      <c r="Q297" s="265"/>
      <c r="R297" s="24"/>
      <c r="S297" s="32"/>
      <c r="T297" s="25"/>
    </row>
    <row r="298" spans="5:20" ht="16.5" customHeight="1">
      <c r="E298" s="116"/>
      <c r="F298" s="116"/>
      <c r="Q298" s="265"/>
      <c r="R298" s="24"/>
      <c r="S298" s="32"/>
      <c r="T298" s="25"/>
    </row>
    <row r="299" spans="17:20" ht="15">
      <c r="Q299" s="265"/>
      <c r="R299" s="24"/>
      <c r="S299" s="32"/>
      <c r="T299" s="25"/>
    </row>
    <row r="300" spans="17:20" ht="15">
      <c r="Q300" s="265"/>
      <c r="R300" s="24"/>
      <c r="S300" s="32"/>
      <c r="T300" s="25"/>
    </row>
    <row r="301" spans="17:20" ht="15">
      <c r="Q301" s="265"/>
      <c r="R301" s="24"/>
      <c r="S301" s="32"/>
      <c r="T301" s="25"/>
    </row>
    <row r="302" spans="17:21" ht="15">
      <c r="Q302" s="265"/>
      <c r="R302" s="24"/>
      <c r="S302" s="32"/>
      <c r="T302" s="25"/>
      <c r="U302" s="116"/>
    </row>
    <row r="303" spans="2:21" ht="15">
      <c r="B303" s="19"/>
      <c r="Q303" s="265"/>
      <c r="R303" s="24"/>
      <c r="S303" s="25"/>
      <c r="T303" s="25"/>
      <c r="U303" s="116"/>
    </row>
    <row r="304" spans="17:20" ht="15">
      <c r="Q304" s="265"/>
      <c r="R304" s="24"/>
      <c r="S304" s="32"/>
      <c r="T304" s="25"/>
    </row>
    <row r="305" spans="17:20" ht="15">
      <c r="Q305" s="265"/>
      <c r="R305" s="24"/>
      <c r="S305" s="32"/>
      <c r="T305" s="25"/>
    </row>
    <row r="306" spans="17:20" ht="15">
      <c r="Q306" s="265"/>
      <c r="R306" s="24"/>
      <c r="S306" s="32"/>
      <c r="T306" s="25"/>
    </row>
    <row r="307" spans="17:20" ht="15">
      <c r="Q307" s="265"/>
      <c r="R307" s="24"/>
      <c r="S307" s="32"/>
      <c r="T307" s="25"/>
    </row>
    <row r="308" spans="17:20" ht="15">
      <c r="Q308" s="265"/>
      <c r="R308" s="24"/>
      <c r="S308" s="32"/>
      <c r="T308" s="25"/>
    </row>
    <row r="309" spans="17:20" ht="15">
      <c r="Q309" s="265"/>
      <c r="R309" s="24"/>
      <c r="S309" s="32"/>
      <c r="T309" s="25"/>
    </row>
    <row r="310" spans="17:20" ht="15">
      <c r="Q310" s="265"/>
      <c r="R310" s="24"/>
      <c r="S310" s="32"/>
      <c r="T310" s="25"/>
    </row>
    <row r="311" spans="17:20" ht="15">
      <c r="Q311" s="265"/>
      <c r="R311" s="24"/>
      <c r="S311" s="32"/>
      <c r="T311" s="25"/>
    </row>
    <row r="312" spans="17:20" ht="15">
      <c r="Q312" s="265"/>
      <c r="R312" s="24"/>
      <c r="S312" s="32"/>
      <c r="T312" s="25"/>
    </row>
    <row r="313" spans="17:20" ht="15">
      <c r="Q313" s="265"/>
      <c r="R313" s="24"/>
      <c r="S313" s="32"/>
      <c r="T313" s="25"/>
    </row>
    <row r="314" spans="17:20" ht="15">
      <c r="Q314" s="265"/>
      <c r="R314" s="24"/>
      <c r="S314" s="32"/>
      <c r="T314" s="25"/>
    </row>
    <row r="315" spans="17:20" ht="34.5" customHeight="1">
      <c r="Q315" s="265"/>
      <c r="R315" s="24"/>
      <c r="S315" s="32"/>
      <c r="T315" s="25"/>
    </row>
    <row r="316" spans="17:20" ht="34.5" customHeight="1">
      <c r="Q316" s="265"/>
      <c r="R316" s="24"/>
      <c r="S316" s="32"/>
      <c r="T316" s="25"/>
    </row>
    <row r="317" spans="17:20" ht="15">
      <c r="Q317" s="265"/>
      <c r="R317" s="24"/>
      <c r="S317" s="25"/>
      <c r="T317" s="25"/>
    </row>
    <row r="318" spans="17:20" ht="15">
      <c r="Q318" s="265"/>
      <c r="R318" s="24"/>
      <c r="S318" s="32"/>
      <c r="T318" s="25"/>
    </row>
    <row r="319" spans="17:18" ht="15">
      <c r="Q319" s="265"/>
      <c r="R319" s="24"/>
    </row>
    <row r="320" spans="17:18" ht="15">
      <c r="Q320" s="265"/>
      <c r="R320" s="24"/>
    </row>
    <row r="321" spans="17:18" ht="15">
      <c r="Q321" s="265"/>
      <c r="R321" s="24"/>
    </row>
    <row r="322" spans="17:20" ht="15">
      <c r="Q322" s="265"/>
      <c r="R322" s="24"/>
      <c r="T322" s="116"/>
    </row>
    <row r="323" spans="17:18" ht="15">
      <c r="Q323" s="24"/>
      <c r="R323" s="24"/>
    </row>
    <row r="324" spans="17:18" ht="15">
      <c r="Q324" s="24"/>
      <c r="R324" s="24"/>
    </row>
    <row r="325" spans="17:18" ht="15">
      <c r="Q325" s="252"/>
      <c r="R325" s="252"/>
    </row>
    <row r="326" spans="17:18" ht="15">
      <c r="Q326" s="252"/>
      <c r="R326" s="252"/>
    </row>
    <row r="327" spans="17:18" ht="15">
      <c r="Q327" s="117"/>
      <c r="R327" s="117"/>
    </row>
    <row r="328" spans="17:18" ht="44.25" customHeight="1">
      <c r="Q328" s="117"/>
      <c r="R328" s="117"/>
    </row>
    <row r="329" spans="17:20" ht="15">
      <c r="Q329" s="19"/>
      <c r="R329" s="19"/>
      <c r="S329" s="20"/>
      <c r="T329" s="20"/>
    </row>
    <row r="330" spans="17:18" ht="15">
      <c r="Q330" s="265"/>
      <c r="R330" s="24"/>
    </row>
    <row r="331" spans="17:18" ht="15">
      <c r="Q331" s="265"/>
      <c r="R331" s="24"/>
    </row>
    <row r="332" spans="17:18" ht="15">
      <c r="Q332" s="265"/>
      <c r="R332" s="24"/>
    </row>
    <row r="333" spans="17:18" ht="15">
      <c r="Q333" s="265"/>
      <c r="R333" s="24"/>
    </row>
    <row r="334" spans="17:18" ht="15">
      <c r="Q334" s="265"/>
      <c r="R334" s="24"/>
    </row>
    <row r="335" spans="17:18" ht="15">
      <c r="Q335" s="265"/>
      <c r="R335" s="24"/>
    </row>
    <row r="336" spans="17:18" ht="15">
      <c r="Q336" s="265"/>
      <c r="R336" s="24"/>
    </row>
    <row r="337" spans="17:18" ht="15">
      <c r="Q337" s="265"/>
      <c r="R337" s="24"/>
    </row>
    <row r="338" spans="17:18" ht="15">
      <c r="Q338" s="265"/>
      <c r="R338" s="24"/>
    </row>
    <row r="339" spans="17:18" ht="15">
      <c r="Q339" s="265"/>
      <c r="R339" s="24"/>
    </row>
    <row r="340" spans="17:18" ht="15">
      <c r="Q340" s="265"/>
      <c r="R340" s="24"/>
    </row>
    <row r="341" spans="17:18" ht="15">
      <c r="Q341" s="265"/>
      <c r="R341" s="24"/>
    </row>
    <row r="342" spans="17:18" ht="15">
      <c r="Q342" s="265"/>
      <c r="R342" s="24"/>
    </row>
    <row r="343" spans="17:18" ht="15">
      <c r="Q343" s="265"/>
      <c r="R343" s="24"/>
    </row>
    <row r="344" spans="17:18" ht="15">
      <c r="Q344" s="265"/>
      <c r="R344" s="24"/>
    </row>
    <row r="345" spans="17:18" ht="15">
      <c r="Q345" s="265"/>
      <c r="R345" s="24"/>
    </row>
    <row r="346" spans="17:18" ht="15">
      <c r="Q346" s="265"/>
      <c r="R346" s="24"/>
    </row>
    <row r="347" spans="17:18" ht="15">
      <c r="Q347" s="265"/>
      <c r="R347" s="24"/>
    </row>
    <row r="348" spans="17:18" ht="15">
      <c r="Q348" s="265"/>
      <c r="R348" s="24"/>
    </row>
    <row r="350" spans="17:18" ht="15">
      <c r="Q350" s="117"/>
      <c r="R350" s="117"/>
    </row>
  </sheetData>
  <sheetProtection/>
  <mergeCells count="2">
    <mergeCell ref="A5:C5"/>
    <mergeCell ref="A275:C275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2023-02-16T13:05:09Z</cp:lastPrinted>
  <dcterms:created xsi:type="dcterms:W3CDTF">2022-11-04T07:21:49Z</dcterms:created>
  <dcterms:modified xsi:type="dcterms:W3CDTF">2023-02-16T13:05:10Z</dcterms:modified>
  <cp:category/>
  <cp:version/>
  <cp:contentType/>
  <cp:contentStatus/>
</cp:coreProperties>
</file>