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62" activeTab="0"/>
  </bookViews>
  <sheets>
    <sheet name="Pamatbudžets 1.pielikums   " sheetId="1" r:id="rId1"/>
    <sheet name="Pamatbudžets 2.pielikums" sheetId="2" r:id="rId2"/>
  </sheets>
  <definedNames>
    <definedName name="_xlnm.Print_Titles" localSheetId="0">'Pamatbudžets 1.pielikums   '!$7:$7</definedName>
  </definedNames>
  <calcPr fullCalcOnLoad="1"/>
</workbook>
</file>

<file path=xl/sharedStrings.xml><?xml version="1.0" encoding="utf-8"?>
<sst xmlns="http://schemas.openxmlformats.org/spreadsheetml/2006/main" count="827" uniqueCount="685">
  <si>
    <t>Izglītība</t>
  </si>
  <si>
    <t>04.000</t>
  </si>
  <si>
    <t>05.200</t>
  </si>
  <si>
    <t>06.000</t>
  </si>
  <si>
    <t>07.000</t>
  </si>
  <si>
    <t>Kultūra</t>
  </si>
  <si>
    <t>08.000</t>
  </si>
  <si>
    <t>10.000</t>
  </si>
  <si>
    <t>Sporta centrs</t>
  </si>
  <si>
    <t>Kods</t>
  </si>
  <si>
    <t>Pielikums Nr.1</t>
  </si>
  <si>
    <t>4.1.1.0.</t>
  </si>
  <si>
    <t>4.1.2.0.</t>
  </si>
  <si>
    <t>5.4.1.0.</t>
  </si>
  <si>
    <t>Pašvaldību nodevas</t>
  </si>
  <si>
    <t>9.5.0.0.</t>
  </si>
  <si>
    <t>05.000</t>
  </si>
  <si>
    <t>Pabalsts maznodrošinātām ģimenēm</t>
  </si>
  <si>
    <t>Pašvaldības policija</t>
  </si>
  <si>
    <t>Kopā izdevumi:</t>
  </si>
  <si>
    <t>S.Velberga</t>
  </si>
  <si>
    <t>Nodokļu ieņēmumi</t>
  </si>
  <si>
    <t>1.1.1.0.</t>
  </si>
  <si>
    <t>1.1.1.1.</t>
  </si>
  <si>
    <t>1.1.1.2.</t>
  </si>
  <si>
    <t>4.1.0.0.</t>
  </si>
  <si>
    <t>Nekustamā īpašuma nodoklis</t>
  </si>
  <si>
    <t>Nekustamā īpašuma nodoklis par zemi</t>
  </si>
  <si>
    <t xml:space="preserve">Nekustamā īpašuma nodoklis par ēkām </t>
  </si>
  <si>
    <t>Azartspēļu nodoklis</t>
  </si>
  <si>
    <t>Nenodokļu ieņēmumi</t>
  </si>
  <si>
    <t>9.4.0.0.</t>
  </si>
  <si>
    <t>Valsts nodevas, kuras ieskaita pašvaldību budžetā</t>
  </si>
  <si>
    <t>Pārējie nenodokļu ieņēmumi</t>
  </si>
  <si>
    <t>18.0.0.0.</t>
  </si>
  <si>
    <t>Valsts budžeta transferti</t>
  </si>
  <si>
    <t>19.0.0.0.</t>
  </si>
  <si>
    <t>Pašvaldību budžetu transferti</t>
  </si>
  <si>
    <t>19.2.0.0.</t>
  </si>
  <si>
    <t>19.3.0.0.</t>
  </si>
  <si>
    <t>21.0.0.0.</t>
  </si>
  <si>
    <t>Budžeta iestāžu ieņēmumi</t>
  </si>
  <si>
    <t>21.3.0.0.</t>
  </si>
  <si>
    <t>21.3.8.0.</t>
  </si>
  <si>
    <t>Ieņēmumi par nomu un īri</t>
  </si>
  <si>
    <t>21.3.9.0.</t>
  </si>
  <si>
    <t>Ieņēmumi par pārējiem budžeta iestāžu maksas pakalpojumiem</t>
  </si>
  <si>
    <t>KOPĀ IEŅĒMUMI</t>
  </si>
  <si>
    <t>Kopā ar kredītresursiem:</t>
  </si>
  <si>
    <t>Kopā ar budžeta atlikumu</t>
  </si>
  <si>
    <t>Pielikums Nr.2</t>
  </si>
  <si>
    <t>01.000</t>
  </si>
  <si>
    <t>Vispārējie valdības dienesti</t>
  </si>
  <si>
    <t>01.720</t>
  </si>
  <si>
    <t>Pašvaldību budžetu parāda darījumi</t>
  </si>
  <si>
    <t>01.721</t>
  </si>
  <si>
    <t xml:space="preserve">       Pašvaldību budžetu valsts iekšējā parāda darījumi</t>
  </si>
  <si>
    <t>01.830</t>
  </si>
  <si>
    <t>Vispārēja rakstura transferti no pašvaldību budžeta pašvaldību budžetam</t>
  </si>
  <si>
    <t xml:space="preserve">       Norēķini ar citu pašvaldību izglītības iestādēm</t>
  </si>
  <si>
    <t>01.890</t>
  </si>
  <si>
    <t>03.000</t>
  </si>
  <si>
    <t>Sabiedriskā kārtība un drošība</t>
  </si>
  <si>
    <t>03.600</t>
  </si>
  <si>
    <t>Ekonomiskā darbība</t>
  </si>
  <si>
    <t>04.111</t>
  </si>
  <si>
    <t>Vispārējas ekonomiskas darbības vadība</t>
  </si>
  <si>
    <t>04.210</t>
  </si>
  <si>
    <t>04.220</t>
  </si>
  <si>
    <t>Mežsaimniecība un medniecība</t>
  </si>
  <si>
    <t>04.510</t>
  </si>
  <si>
    <t>Autotransports</t>
  </si>
  <si>
    <t xml:space="preserve">       Ceļu būvniecībai un remontiem</t>
  </si>
  <si>
    <t>04.600</t>
  </si>
  <si>
    <t>Sakari</t>
  </si>
  <si>
    <t>Vides aizsardzība</t>
  </si>
  <si>
    <t>05.100</t>
  </si>
  <si>
    <t>Atkritumu apsaimniekošana</t>
  </si>
  <si>
    <t>Notekūdeņu apsaimniekošana</t>
  </si>
  <si>
    <t>Pašvaldības teritoriju un mājokļu apsaimniekošana</t>
  </si>
  <si>
    <t>06.300</t>
  </si>
  <si>
    <t>Ūdensapgāde</t>
  </si>
  <si>
    <t>06.400</t>
  </si>
  <si>
    <t>Ielu apgaismošana</t>
  </si>
  <si>
    <t>06.600</t>
  </si>
  <si>
    <t>Pārējā citur nekvalificētā pašvaldību teritoriju un mājokļu apsaimniekošanas darbība</t>
  </si>
  <si>
    <t>Veselība</t>
  </si>
  <si>
    <t>07.210</t>
  </si>
  <si>
    <t>Ambulatorās ārstniecības iestādes</t>
  </si>
  <si>
    <t>Atpūta, kultūra un reliģija</t>
  </si>
  <si>
    <t>08.100</t>
  </si>
  <si>
    <t>Atpūtas un sporta  pasākumi</t>
  </si>
  <si>
    <t xml:space="preserve">       Sporta pasākumu rīkošanai</t>
  </si>
  <si>
    <t xml:space="preserve">       Komandas vai individuālu sacensību dalībnieku atbalstam</t>
  </si>
  <si>
    <t>08.200</t>
  </si>
  <si>
    <t>08.230</t>
  </si>
  <si>
    <t>08.290</t>
  </si>
  <si>
    <t>Televīzija</t>
  </si>
  <si>
    <t>Izdevniecība ( Novada informatīvie izdevumi )</t>
  </si>
  <si>
    <t>09.000</t>
  </si>
  <si>
    <t>09.100</t>
  </si>
  <si>
    <t>PII  "Cīrulītis"</t>
  </si>
  <si>
    <t>PII  "Dzīpariņš"</t>
  </si>
  <si>
    <t>PII  "Zelta sietiņš"</t>
  </si>
  <si>
    <t>PII  "Saulīte"</t>
  </si>
  <si>
    <t>PII " Ābelīte"</t>
  </si>
  <si>
    <t>09.211</t>
  </si>
  <si>
    <t>Ogres 1. vidusskola</t>
  </si>
  <si>
    <t>Jaunogres vidusskola</t>
  </si>
  <si>
    <t>Ogresgala pamatskola</t>
  </si>
  <si>
    <t>09.510</t>
  </si>
  <si>
    <t>Interešu un profesionālās ievirzes izglītība</t>
  </si>
  <si>
    <t>Mūzikas skola</t>
  </si>
  <si>
    <t>Mākslas skola</t>
  </si>
  <si>
    <t>09.820</t>
  </si>
  <si>
    <t>Sociālā aizsardzība</t>
  </si>
  <si>
    <t>10.600</t>
  </si>
  <si>
    <t>Mājokļa atbalsts</t>
  </si>
  <si>
    <t>10.700</t>
  </si>
  <si>
    <t>Pārējais citur neklasificēts atbalsts sociāli atstumtām personām</t>
  </si>
  <si>
    <t xml:space="preserve">Sociālais dienests </t>
  </si>
  <si>
    <t>Basketbola skola</t>
  </si>
  <si>
    <t>Nemateriālie ieguldījumi</t>
  </si>
  <si>
    <t>13.0.0.0.</t>
  </si>
  <si>
    <t xml:space="preserve">    Muzeji un izstādes</t>
  </si>
  <si>
    <t xml:space="preserve">    Finansējums PA "Ogres kultūras centrs"</t>
  </si>
  <si>
    <t xml:space="preserve">    Pilsētas dekorēšana svētkiem</t>
  </si>
  <si>
    <t>PII " Strautiņš"</t>
  </si>
  <si>
    <t xml:space="preserve">Pozīcijas nosaukums             </t>
  </si>
  <si>
    <t>Ieņēmumi no iedzīvotāju ienākuma nodokļa</t>
  </si>
  <si>
    <t>Saņemts no VK sadales konta  iepriekšējā gada nesadalītais iedzīvotāju ienākuma nodokļa atlikums</t>
  </si>
  <si>
    <t>Saņemts no VK sadales konta  pārskata gadā ieskaitītais iedzīvotāju ienākuma nodoklis</t>
  </si>
  <si>
    <t>4.0.0.0.</t>
  </si>
  <si>
    <t>Īpašuma nodokļi</t>
  </si>
  <si>
    <t>10.1.0.0.</t>
  </si>
  <si>
    <t>Naudas sodi</t>
  </si>
  <si>
    <t>21.3.5.0.</t>
  </si>
  <si>
    <t>Maksa par izglītības pakalpojumiem</t>
  </si>
  <si>
    <t>21.3.7.0.</t>
  </si>
  <si>
    <t>Būvvalde</t>
  </si>
  <si>
    <t>Mājokļu attīstība pašvaldībā</t>
  </si>
  <si>
    <t xml:space="preserve">       Ģimenes ārstu prakse </t>
  </si>
  <si>
    <t xml:space="preserve">    Bibliotēkas </t>
  </si>
  <si>
    <t>PII "Riekstiņš"</t>
  </si>
  <si>
    <t>PII "Taurenītis"</t>
  </si>
  <si>
    <t xml:space="preserve">Ķeipenes pamatskola </t>
  </si>
  <si>
    <t>Madlienas vidusskola</t>
  </si>
  <si>
    <t>09.219</t>
  </si>
  <si>
    <t>Suntažu vidusskola</t>
  </si>
  <si>
    <t>Madlienas mūzikas un mākslas skola</t>
  </si>
  <si>
    <t>09.600</t>
  </si>
  <si>
    <t>Izglītības papildu pakalpojumi</t>
  </si>
  <si>
    <t>Atbalsts bezdarba gadījumā</t>
  </si>
  <si>
    <t xml:space="preserve">Sabiedriskās organizācijas </t>
  </si>
  <si>
    <t>Pansionāts "Madliena"</t>
  </si>
  <si>
    <t>Preces un pakalpojumi</t>
  </si>
  <si>
    <t>Pakalpojumi</t>
  </si>
  <si>
    <t>Krājumi,materiāli,energoresursi,prece,biroja preces un inventārs, ko neuzskaita  5000. kodā</t>
  </si>
  <si>
    <t>Izdevumi periodikas iegādei</t>
  </si>
  <si>
    <t>Budžeta iestāžu nodokļu maksājumi</t>
  </si>
  <si>
    <t xml:space="preserve">Pārējie procentu maksājumi </t>
  </si>
  <si>
    <t>Pamatlīdzekļi</t>
  </si>
  <si>
    <t xml:space="preserve">Sociālie pabalsti naudā </t>
  </si>
  <si>
    <t>Sociālie pabalsti natūrā</t>
  </si>
  <si>
    <t xml:space="preserve"> IZDEVUMI KOPĀ</t>
  </si>
  <si>
    <t>21.1.0.0.</t>
  </si>
  <si>
    <t xml:space="preserve">Budžeta iestādes ieņēmumi no ārvalstu finanšu palīdzības </t>
  </si>
  <si>
    <t>F56010000</t>
  </si>
  <si>
    <t>Kapitālieguldījumu fondu akcijas</t>
  </si>
  <si>
    <t>Atalgojums</t>
  </si>
  <si>
    <t>Atbalsts ģimenēm ar bērniem (Bāriņtiesas)</t>
  </si>
  <si>
    <t>18.6.0.0.</t>
  </si>
  <si>
    <t>4.1.3.0.</t>
  </si>
  <si>
    <t>Nekustamā īpašuma nodoklis par mājokļiem</t>
  </si>
  <si>
    <t>Pašvaldību saņemtie transferti no valsts budžeta</t>
  </si>
  <si>
    <t>Pašvaldību saņemtie transferti no citām pašvaldībām</t>
  </si>
  <si>
    <t>Ieņēmumi no budžeta iestāžu sniegtajiem maksas pakalpojumiem un citi pašu ieņēmumi</t>
  </si>
  <si>
    <t>01.100</t>
  </si>
  <si>
    <t xml:space="preserve">Izpildvaras un likumdošanas varas  institūcijas </t>
  </si>
  <si>
    <t>01.820</t>
  </si>
  <si>
    <t>Vispārēja rakstura transferti no pašvaldību budžeta valsts budžetam</t>
  </si>
  <si>
    <t xml:space="preserve">Izdevumi neparedzētiem gadījumiem </t>
  </si>
  <si>
    <t>03.110</t>
  </si>
  <si>
    <t>Pārējie sabiedriskās kārtības un drošības pakalpojumi (Video novērošanai Ogrē)</t>
  </si>
  <si>
    <t>04.11101</t>
  </si>
  <si>
    <t>Uzņēmējdarbības  attīstības veicināšanai</t>
  </si>
  <si>
    <t xml:space="preserve">Lauksaimniecība </t>
  </si>
  <si>
    <t>04.51004</t>
  </si>
  <si>
    <t>Pārējais autotransports</t>
  </si>
  <si>
    <t>04.6001</t>
  </si>
  <si>
    <t>05.1001</t>
  </si>
  <si>
    <t>05.2001</t>
  </si>
  <si>
    <t>05.2002</t>
  </si>
  <si>
    <t>05.300</t>
  </si>
  <si>
    <t>Vides piesārņojuma novēršana un samazināšana</t>
  </si>
  <si>
    <t>05.400</t>
  </si>
  <si>
    <t>Bioloģiskās daudzveidības un ainavas aizsardzība</t>
  </si>
  <si>
    <t>Teritoriju attīstība ( projektēšanai )</t>
  </si>
  <si>
    <t>06.60001</t>
  </si>
  <si>
    <t>06.60002</t>
  </si>
  <si>
    <t>06.60003</t>
  </si>
  <si>
    <t>06.60006</t>
  </si>
  <si>
    <t>06.60007</t>
  </si>
  <si>
    <t>06.60008</t>
  </si>
  <si>
    <t>06.60009</t>
  </si>
  <si>
    <t>06.60010</t>
  </si>
  <si>
    <t>08.1001</t>
  </si>
  <si>
    <t>08.1002</t>
  </si>
  <si>
    <t>08.2202</t>
  </si>
  <si>
    <t>Pārējā citur neklasificētā kultūra</t>
  </si>
  <si>
    <t>08.29001</t>
  </si>
  <si>
    <t>08.29002</t>
  </si>
  <si>
    <t xml:space="preserve">Pirmsskolas izglītība </t>
  </si>
  <si>
    <t>09.10002</t>
  </si>
  <si>
    <t>09.10003</t>
  </si>
  <si>
    <t>09.10004</t>
  </si>
  <si>
    <t>09.10005</t>
  </si>
  <si>
    <t>09.10006</t>
  </si>
  <si>
    <t>09.10007</t>
  </si>
  <si>
    <t>09.10008</t>
  </si>
  <si>
    <t>09.10009</t>
  </si>
  <si>
    <t>09.10010</t>
  </si>
  <si>
    <t>Sākumskolas (ISCED-97 1. līmenis)</t>
  </si>
  <si>
    <t>Vispārējās izglītības mācību iestāžu izdevumi (ISCED-97 1.- 3. līmenis)</t>
  </si>
  <si>
    <t>09.21901</t>
  </si>
  <si>
    <t>09.21902</t>
  </si>
  <si>
    <t>Ogres ģimnāzija</t>
  </si>
  <si>
    <t>09.21903</t>
  </si>
  <si>
    <t>09.21904</t>
  </si>
  <si>
    <t>09.21905</t>
  </si>
  <si>
    <t>09.21906</t>
  </si>
  <si>
    <t>09.21907</t>
  </si>
  <si>
    <t>09.21908</t>
  </si>
  <si>
    <t>09.5101</t>
  </si>
  <si>
    <t>09.5102</t>
  </si>
  <si>
    <t>09.5103</t>
  </si>
  <si>
    <t>09.5104</t>
  </si>
  <si>
    <t>09.5106</t>
  </si>
  <si>
    <t>Pārējā citur neklasificētā izglītība (izglītības projektu realizācija)</t>
  </si>
  <si>
    <t>09.82007</t>
  </si>
  <si>
    <t>09.82008</t>
  </si>
  <si>
    <t>10.70001</t>
  </si>
  <si>
    <t>10.70002</t>
  </si>
  <si>
    <t>10.70005</t>
  </si>
  <si>
    <t>10.70010</t>
  </si>
  <si>
    <t>01.830    7230</t>
  </si>
  <si>
    <t>Pašvaldību  uzturēšanas izdevumu transferti padotības iestādēm</t>
  </si>
  <si>
    <t>Darba devēja valsts sociālās apdrošināšanas obligātās iemaksas, sociālā rakstura pabalsti un kompensācijas</t>
  </si>
  <si>
    <t>Subsīdijas un dotācijas komersantiem, biedrībām un nodibinājumiem</t>
  </si>
  <si>
    <t>Pārējie maksājumi iedzīvotājiem natūrā un kompensācijas</t>
  </si>
  <si>
    <t>Pašvaldību uzturēšanas izdevumu transferti</t>
  </si>
  <si>
    <t>06.100</t>
  </si>
  <si>
    <t>Dabas resursu nodoklis</t>
  </si>
  <si>
    <t>03.200</t>
  </si>
  <si>
    <t xml:space="preserve">          Vēstures un mākslas muzejs</t>
  </si>
  <si>
    <t>Ugunsdrošības, glābšanas un civilās drošības dienesti</t>
  </si>
  <si>
    <t>Ieņēmumi no pašvaldības īpašuma iznomāšanas, pārdošanas un nodokļu pamatp.kapitaliz.</t>
  </si>
  <si>
    <t>Publisko interneta pieejas punktu attīstība</t>
  </si>
  <si>
    <t>Taurupes pamatskola</t>
  </si>
  <si>
    <t>Pašvaldību saņemtie transferti no valsts budžeta daļēji finansētām atvasinātām publiskām personām un no budžeta nefinansētām iestādēm</t>
  </si>
  <si>
    <t>17.2.0.0.</t>
  </si>
  <si>
    <t xml:space="preserve">       Norēķini ar citu pašvaldību sociālo pakalpojumu iestādēm</t>
  </si>
  <si>
    <t>08.29011</t>
  </si>
  <si>
    <t>Budžeta nodaļas vadītāja</t>
  </si>
  <si>
    <t>F20010000 AS</t>
  </si>
  <si>
    <t>F20010000 AB</t>
  </si>
  <si>
    <t>_____________ Saistošajiem noteikumiem Nr.____</t>
  </si>
  <si>
    <t>21.4.9.0</t>
  </si>
  <si>
    <t>Pārējie iepriekš neklasificētie pašu ieņēmumi</t>
  </si>
  <si>
    <t>04.11114</t>
  </si>
  <si>
    <t>04.2103</t>
  </si>
  <si>
    <t>05.1007</t>
  </si>
  <si>
    <t>06.1001</t>
  </si>
  <si>
    <t>08.1004</t>
  </si>
  <si>
    <t xml:space="preserve">       Struktūrvienība peldbaseins  "Neptūns"</t>
  </si>
  <si>
    <t>09.82030</t>
  </si>
  <si>
    <t>Mācību, darba un dienesta komandējumi, dienesta, darba braucieni</t>
  </si>
  <si>
    <t>Kompensācijas, kuras izmaksā personām, pamatojoties uz Latvijas tiesu nolēmumiem</t>
  </si>
  <si>
    <t>10.70015</t>
  </si>
  <si>
    <t>Līdzekļu atlikums uz gada beigām (Kases apgrozāmie līdzekļi)  F22010020</t>
  </si>
  <si>
    <t>09.82032</t>
  </si>
  <si>
    <t>Informatīvi pasākumi uzņēmējiem</t>
  </si>
  <si>
    <t xml:space="preserve">Pašvaldības un tās iestāžu savstarpējie transferti </t>
  </si>
  <si>
    <t>07.4501</t>
  </si>
  <si>
    <t>08.2301</t>
  </si>
  <si>
    <t xml:space="preserve">    Kultūras aktivitātes / pasākumi</t>
  </si>
  <si>
    <t>Projekts Skolēnu autobusi (Soc.droš.tīkls)</t>
  </si>
  <si>
    <t>10.70003</t>
  </si>
  <si>
    <t>Sociālā dienesta asistentu pakalpojumi</t>
  </si>
  <si>
    <t>Zaudējumi no valūtas kursa svārstībām</t>
  </si>
  <si>
    <t>01.83011</t>
  </si>
  <si>
    <t>01.83012</t>
  </si>
  <si>
    <t>01.83013</t>
  </si>
  <si>
    <t>03.2001</t>
  </si>
  <si>
    <t>04.11102</t>
  </si>
  <si>
    <t>04.11103</t>
  </si>
  <si>
    <t>04.4301</t>
  </si>
  <si>
    <t>05.30001</t>
  </si>
  <si>
    <t>05.4001</t>
  </si>
  <si>
    <t xml:space="preserve">Mājokļu attīstība </t>
  </si>
  <si>
    <t>06.2001</t>
  </si>
  <si>
    <t xml:space="preserve">       Projektu konkurss "Veidojam vidi ap mums Ogres novadā"</t>
  </si>
  <si>
    <t xml:space="preserve">      Pašvaldības teritoriju labiekārtošana</t>
  </si>
  <si>
    <t>07.2101</t>
  </si>
  <si>
    <t>08.29007</t>
  </si>
  <si>
    <t>10.70006</t>
  </si>
  <si>
    <t>Jauniešu garantijas ietvaros projekta "PROTI un DARI!" īstenošana</t>
  </si>
  <si>
    <t>06.60012</t>
  </si>
  <si>
    <t xml:space="preserve"> </t>
  </si>
  <si>
    <t xml:space="preserve">      SAM 9.2.4.2. Pasākumi vietējās sabiedrības slimību profilaksei un veselības veicināšanai</t>
  </si>
  <si>
    <t>08.2304</t>
  </si>
  <si>
    <t xml:space="preserve">    Kultūras centri - tautas nami</t>
  </si>
  <si>
    <t>08.300</t>
  </si>
  <si>
    <t>Apraides un izdevniecības pakalpojumi</t>
  </si>
  <si>
    <t>Ēdināšanas izmaksu kompensācijas</t>
  </si>
  <si>
    <t>Skolnieku pārvadājumi</t>
  </si>
  <si>
    <t>09.82001</t>
  </si>
  <si>
    <t>Karjeras atbalsts vispārējās un profesionālās izglītības iestādēs</t>
  </si>
  <si>
    <t>09.60010</t>
  </si>
  <si>
    <t>09.60020</t>
  </si>
  <si>
    <t>04.510010</t>
  </si>
  <si>
    <t>SAM 5,6,2, Degradētās teritorijas Pārogres industriālajā parkā revitalizācija</t>
  </si>
  <si>
    <t>Atbalsts izglītojamo individuālo kompetenču attīstībai</t>
  </si>
  <si>
    <t>09.82039</t>
  </si>
  <si>
    <t>08.2101</t>
  </si>
  <si>
    <t>8.3.0.0.</t>
  </si>
  <si>
    <t>Īeņēmumi no dividendēm</t>
  </si>
  <si>
    <t>21.3.4.0.</t>
  </si>
  <si>
    <t>03.6002</t>
  </si>
  <si>
    <t>Atskurbtuves pakalpojumiem</t>
  </si>
  <si>
    <t>04.11116</t>
  </si>
  <si>
    <t>Ogres novadnieka karte</t>
  </si>
  <si>
    <t>08.2204</t>
  </si>
  <si>
    <t>08.2303</t>
  </si>
  <si>
    <t>08.3101</t>
  </si>
  <si>
    <t>08.3301</t>
  </si>
  <si>
    <t>10.70016</t>
  </si>
  <si>
    <t>ERAF "Pakalpojumu infrastruktūras attīstība deinstitualizācijas plānu īstenošanai"</t>
  </si>
  <si>
    <t>Tūrisma informācijas centrs</t>
  </si>
  <si>
    <t>09.82002</t>
  </si>
  <si>
    <t>Atbalsts priekšlaicīgas mācību pārtraukšanas samazināšanai (Pumpurs)</t>
  </si>
  <si>
    <t>09.82045</t>
  </si>
  <si>
    <t>Ogres 1. vidusskolas ERASMUS programmas 1. pamatdarbības mobilitātes projekts "No vārdiem pie darbiem: mūsdienīgu lietpratību veicinoša skola"</t>
  </si>
  <si>
    <t>04.7301</t>
  </si>
  <si>
    <t>07.4502</t>
  </si>
  <si>
    <t>06.60022</t>
  </si>
  <si>
    <t xml:space="preserve">     Veselības veicināšanas pasākumiem</t>
  </si>
  <si>
    <t>Energoefektivitātes pasākumi</t>
  </si>
  <si>
    <t>SIA Ogres namsaimnieks finansējums domes deliģēto funkciju izpildei</t>
  </si>
  <si>
    <t>Ieņēmumi par  dokumentu izsniegšanu un kancelejas pakalpojumiem</t>
  </si>
  <si>
    <t>01.6001</t>
  </si>
  <si>
    <t>Finansējums Ogres un Ikšķiles PA "Tūrisma, sporta un atpūtas kompleksa "Zilie kalni"attīstības aģentūra"</t>
  </si>
  <si>
    <t>Projektu pieteikumu izstrāde, tehniskās dokumentācijas sagatavošana</t>
  </si>
  <si>
    <t>04.2102</t>
  </si>
  <si>
    <t xml:space="preserve">Centrālās Baltijas jūras reģiona programmas projekts "Nordic urban planning:  holistic approach for extreme weather" (NOAH) </t>
  </si>
  <si>
    <t>04.51015</t>
  </si>
  <si>
    <t>Parka ielas pārbūve</t>
  </si>
  <si>
    <t>Ielu tīrīšanai, atkritumu savākšanai,teritoriju labiekārtošanai</t>
  </si>
  <si>
    <t>05.30002</t>
  </si>
  <si>
    <t>Siltumnīcefekta gāzu emisiju samazināšana izbūvējot Ogres Centrālo bibliotēkas ēku</t>
  </si>
  <si>
    <t>06.3001</t>
  </si>
  <si>
    <t>Vispārējie ūdens apgādes izdevumi</t>
  </si>
  <si>
    <t>08.220</t>
  </si>
  <si>
    <t xml:space="preserve">    Kultūras centri, nami</t>
  </si>
  <si>
    <t xml:space="preserve">    Komunikāciju centrs Ķeipenē</t>
  </si>
  <si>
    <t>08.29012</t>
  </si>
  <si>
    <t>09.82003</t>
  </si>
  <si>
    <t>Latvijas Skolas Soma</t>
  </si>
  <si>
    <t>09.82004</t>
  </si>
  <si>
    <t xml:space="preserve">Erasmus + programmas projekts Nr.2018-1-FR01-KA229-047933 3 (ģimnāzija) </t>
  </si>
  <si>
    <t>09.82005</t>
  </si>
  <si>
    <t xml:space="preserve">Erasmus + programmas projekts Nr.2018-1-PT01-KA229-047540 6 (ģimnāzija) </t>
  </si>
  <si>
    <t>09.82009</t>
  </si>
  <si>
    <t>Erasmus + programmas projekts Nr.2018-1-ES01-KA229-050191 3. Kultūra uz skatuves (ģimnāzija)</t>
  </si>
  <si>
    <t>09.82010</t>
  </si>
  <si>
    <t>Sadarbībā ar Rīgas tehnisko universitāti, Māturības un tehnoloģju mācību kabineta aprīkošanā 1. vidusskolā</t>
  </si>
  <si>
    <t>Pārējās izglītības iestāžu pedagogu profesionālās kompetences  pilnveide (Ģimnāzija)</t>
  </si>
  <si>
    <t>09.82046</t>
  </si>
  <si>
    <t xml:space="preserve">Erasmus + programmas projekts Nr.2018-1-EE01-KA229-047133 4 Darbīgās bites (Dzīpariņš) </t>
  </si>
  <si>
    <t>10.70009</t>
  </si>
  <si>
    <t>Konkurss Vides pieejamības nodrošināšana invalīdiem</t>
  </si>
  <si>
    <t>Kapitālo izdevumu transferti</t>
  </si>
  <si>
    <t>Erasmus+programmas projekts "ALLready a Success to School Life" (Pilnībā gatavs veiksmei skolā) Nr.2018-1-TR01-KA201-059716.Sākumsk.</t>
  </si>
  <si>
    <t>09.82011</t>
  </si>
  <si>
    <t>Sociālo pakalpojumu atbalsta sistēmas pilnveide projekta (GRT) Nr.9.2.2.2/16/I/001.</t>
  </si>
  <si>
    <t>10.70011</t>
  </si>
  <si>
    <t>Ogres novada pašvaldības domes</t>
  </si>
  <si>
    <t>5.5.3.0.</t>
  </si>
  <si>
    <t>8.9.0.0.</t>
  </si>
  <si>
    <t>Pārējie finanšu ieņēmumi</t>
  </si>
  <si>
    <t>12.0.0.0.</t>
  </si>
  <si>
    <t>Procentu ieņēmumi par maksas pakalpojumiem un pašu ieguldījumiem depozītā</t>
  </si>
  <si>
    <t xml:space="preserve">   Novērst plūdu un krasta erozijas risku apdraudējumu Ogres pilsētas teritorijā, veicot vecā aizsargdambja pārbūvi un jauna aizsargmola (straumvirzes) būvniecību pie Ogres upes ietekas Daugavā</t>
  </si>
  <si>
    <t>04.51016</t>
  </si>
  <si>
    <t>04.51017</t>
  </si>
  <si>
    <t>04.51018</t>
  </si>
  <si>
    <t xml:space="preserve">      Koncesija atkritumu apsaimniekošana</t>
  </si>
  <si>
    <t xml:space="preserve">       Lietus ūdens kanalizācija </t>
  </si>
  <si>
    <t xml:space="preserve">       Notekūdeņu (savākšana un attīrīšana)</t>
  </si>
  <si>
    <t xml:space="preserve">   Bioloģiskās daudzveidības un ainavas aizsardzība</t>
  </si>
  <si>
    <t xml:space="preserve">       mājokļu apsaimniekošana</t>
  </si>
  <si>
    <t xml:space="preserve">       siltumapgāde</t>
  </si>
  <si>
    <t xml:space="preserve">       kapu saimniecība</t>
  </si>
  <si>
    <t xml:space="preserve">      Īpašumu uzmērīšanai un reģistrēšanai Zemesgrāmatā</t>
  </si>
  <si>
    <t xml:space="preserve">      Pārējie izdevumi</t>
  </si>
  <si>
    <t xml:space="preserve">      Nevalstisko organizāciju projektu atbalstam</t>
  </si>
  <si>
    <t xml:space="preserve">      Saimniecības nodaļa</t>
  </si>
  <si>
    <t>06.60026</t>
  </si>
  <si>
    <t>Ogres bijušās sanatorijas ieejas vestibils</t>
  </si>
  <si>
    <t>06.60027</t>
  </si>
  <si>
    <t>06.60028</t>
  </si>
  <si>
    <t xml:space="preserve">    Papildus aktivitātes  Ogres novada pašvaldības iestādēs (vasaras nometnes)</t>
  </si>
  <si>
    <t xml:space="preserve">       Projektu konkurss RADI Ogres novadam (Kultūras, sporta un izglītības pasākumi, mācības, kursi)</t>
  </si>
  <si>
    <t>Zaļā tūrisma ceļu attīstība Latvijas un Krievijas pierobežas reģionā ” Greenways (Zaļais ceļš Rīga – Pleskava)LV-RU-006</t>
  </si>
  <si>
    <t>Finansējums bērniem, kuri apmeklē privātās pirmsskolas izglītības iestādes</t>
  </si>
  <si>
    <t>09.810</t>
  </si>
  <si>
    <t>Pārējā izglītības vadība (Izglītības pārvalde)</t>
  </si>
  <si>
    <t xml:space="preserve">     Projekts Skolēnu autobusi (Šveice)</t>
  </si>
  <si>
    <t xml:space="preserve">      8.1.2.SAM "Uzlabot vispārējās izglītības iestāžu mācību vidi Ogres novadā"</t>
  </si>
  <si>
    <t>10.400</t>
  </si>
  <si>
    <t>10.500</t>
  </si>
  <si>
    <t xml:space="preserve">       ES projekts "Deinstitucionalizācija un sociālie pakalpojumi personām ar invaliditāti un bērniem"</t>
  </si>
  <si>
    <t>Procentu maksājumi iekšzemes kredītiestādēm</t>
  </si>
  <si>
    <t>Pārējie iepriekš neuzskaitītie budžeta izdevumi, kas veidojas pēc uzkrāšanas principa un nav uzskaitīti citos 8000 apakškodos</t>
  </si>
  <si>
    <t>09.600139</t>
  </si>
  <si>
    <t>Ēdināšana Ogres skolās</t>
  </si>
  <si>
    <t>08.29023</t>
  </si>
  <si>
    <t>Brīvdabas skatuves būvniecība  un laukuma labiekārtošana Meņģelē</t>
  </si>
  <si>
    <t>09.5107</t>
  </si>
  <si>
    <t>Ogres Mūzikas un mākslas skola</t>
  </si>
  <si>
    <t>08.29024</t>
  </si>
  <si>
    <t>Projekts "TRĪS.KOPĀ.LABĀK", "Starpnovadu un starpinstitūciju sadarbība jaunatnes politikas īstenošanai vietējā līmenī".</t>
  </si>
  <si>
    <t>09.82047</t>
  </si>
  <si>
    <t>Erasmus programmas projekts Nr.2020-1-LV01-KA101-077352 Skolu mācību mobilitāte (ģimnāzija)</t>
  </si>
  <si>
    <t>09.82048</t>
  </si>
  <si>
    <t>Erasmus programmas projekts Nr.2020-1-IT02-KA229-079156 2, Skolas apmaiņas partnerība (Jaunogres vsk.)</t>
  </si>
  <si>
    <t>09.82049</t>
  </si>
  <si>
    <t>Erasmus programmas projekts Nr.2020-1-PL01-KA229-081399 6 Es izaicinu vecumu ar sparu, (ģimnāzija)</t>
  </si>
  <si>
    <t>09.82050</t>
  </si>
  <si>
    <t>Erasmus programmas projekts Nr.2020-1-FR01-KA229-079905 2, Sagatavo mūs nākotnei, (ģimnāzija)</t>
  </si>
  <si>
    <t>09.82052</t>
  </si>
  <si>
    <t>Erasmus programmas projekts Nr.2020-1-TR01-KA229-093575 5 Atklāj patieso dzīvi, (ģimnāzija)</t>
  </si>
  <si>
    <t>09.82051</t>
  </si>
  <si>
    <t>Erasmus programmas projekts Nr.2020-1-TR01-KA229-093837 4, , (ģimnāzija)</t>
  </si>
  <si>
    <t>09.82053</t>
  </si>
  <si>
    <t>Erasmus programmas projekts Nr.2020-1-LV01-KA101-077362 Skolu mācību mobilitāte (Madlienas)</t>
  </si>
  <si>
    <t>09.82054</t>
  </si>
  <si>
    <t>04.51005</t>
  </si>
  <si>
    <t>Blaumaņa ielas Ogrē pārbūve</t>
  </si>
  <si>
    <t>04.51020</t>
  </si>
  <si>
    <t>Rožu ielas Ogrē pārbūve</t>
  </si>
  <si>
    <t>04.51022</t>
  </si>
  <si>
    <t>04.51023</t>
  </si>
  <si>
    <t>04.51024</t>
  </si>
  <si>
    <t>Egļu ielas Ogrē pārbūve</t>
  </si>
  <si>
    <t>Kadiķu ielas Ogrē pārbūve</t>
  </si>
  <si>
    <t>“Gājēju un veloceliņa izbūve gar autoceļa V996 "Ogre – Viskāļi - Koknese" brauktuves malu posmā no Ogres līdz Ogresgalam</t>
  </si>
  <si>
    <t>04.51025</t>
  </si>
  <si>
    <t>Lēdmanes ielas Ogrē pārbūve</t>
  </si>
  <si>
    <t>Birzgales ielas, Ogrē pārbūve</t>
  </si>
  <si>
    <t>06.60029</t>
  </si>
  <si>
    <t>Tirgus laukuma Suntažos uzturēšanai</t>
  </si>
  <si>
    <t>Reliģisko organizāciju un citu biedrību un nodibinājumu pakalpojumi (Sakrālā mantojuma saglabāšana)</t>
  </si>
  <si>
    <t>04.51026</t>
  </si>
  <si>
    <t>Gājēju ietves izbūve Madlienā</t>
  </si>
  <si>
    <t>Civilās aizsardzības pasākumi (COVID-19 izdevumi)</t>
  </si>
  <si>
    <t>Projekts "Uzņēmējdarbības attīstība Ogres stacijas rajonā, pārbūvējot uzņēmējiem svarīgu ielas posmu un laukumu Ogrē'' un Stacijas laukuma stāvlaukuma pārbūve.</t>
  </si>
  <si>
    <t>Finansējums bērniem, kuri apmeklē privātās izglītības iestādes</t>
  </si>
  <si>
    <t>09.21912</t>
  </si>
  <si>
    <t>ES projekts Digitālo mācību un metodisko līdzekļu izstrāde Uzdevumi.lv modernizācijai Nr.8.3.1.2/19/A/005.(1.vsk.)</t>
  </si>
  <si>
    <t>09.82055</t>
  </si>
  <si>
    <t>Pārējie iepriekš neklasificētie vispārējie valdības dienesti (Vēlēšanas)</t>
  </si>
  <si>
    <t xml:space="preserve">LAD projekts  "Rotaļu laukuma izveide Ogres novada Ķeipenes pagastā" </t>
  </si>
  <si>
    <t>09.82056</t>
  </si>
  <si>
    <t>Ogres novada pašvaldības 2021.gada pamatbudžeta ieņēmumi.</t>
  </si>
  <si>
    <t xml:space="preserve">Ogres un Ogresgala 2021.g. budžets </t>
  </si>
  <si>
    <t>Pašvald. aģentūras "Ogres komunikācijas" 2021.g. budžets</t>
  </si>
  <si>
    <t>Pašvald. aģentūras "Rosme" 2021.g. budžets</t>
  </si>
  <si>
    <t>Suntažu pagasta pārvaldes 2021.g. budžets</t>
  </si>
  <si>
    <t>Lauberes pagasta pārvaldes 2021.g. budžets</t>
  </si>
  <si>
    <t>Ķeipenes pagasta pārvaldes 2021.g. budžets</t>
  </si>
  <si>
    <t>Madlienas pagasta pārvaldes 2021.g. budžets</t>
  </si>
  <si>
    <t>Krapes pagasta pārvaldes 2021.g. budžets</t>
  </si>
  <si>
    <t>Mazozolu pagasta pārvaldes 2021.g. budžets</t>
  </si>
  <si>
    <t>Meņģeles pagasta pārvaldes 2021.g. budžets</t>
  </si>
  <si>
    <t>Taurupes pagasta pārvaldes 2021.g. budžets</t>
  </si>
  <si>
    <t>Ogres novada pašvaldības 2021.g. budžets</t>
  </si>
  <si>
    <t>Budžeta  atl.uz  01. 01. 2021.g.        F22010010</t>
  </si>
  <si>
    <t>Ogres novada pašvaldības 2021. gada pamatbudžeta  izdevumi atbilstoši funkcionālajām kategorijām.</t>
  </si>
  <si>
    <t>Iekārtā (gājēju) tilta pār Ogres upi teritorijā starp J.Čakstes pr. un Ogres ielu Ogrē, būvniecība</t>
  </si>
  <si>
    <t>04.51027</t>
  </si>
  <si>
    <t>Madlienas pag. autoceļa A1 posma no P32 līdz iebrauktuvei uz Madlienas vidusskolu pārbūve</t>
  </si>
  <si>
    <t>04.51028</t>
  </si>
  <si>
    <t>Poruka ielas, Ogrē pārbūve</t>
  </si>
  <si>
    <t>04.51029</t>
  </si>
  <si>
    <t xml:space="preserve">Čakstes/Strēlnieku prospekta līdz Dārza ielai atjaunošana </t>
  </si>
  <si>
    <t>04.51030</t>
  </si>
  <si>
    <t xml:space="preserve">Čakstes prospekta no Mazās Ķentes ielas līdz Skalbju ielai atjaunošana </t>
  </si>
  <si>
    <t>04.51031</t>
  </si>
  <si>
    <t xml:space="preserve">Dārza ielas līdz autoceļam A6 atjaunošana </t>
  </si>
  <si>
    <t>04.51032</t>
  </si>
  <si>
    <t>Lielvārdes ielas virsmas atjaunošana</t>
  </si>
  <si>
    <t>04.51033</t>
  </si>
  <si>
    <t xml:space="preserve">Stirnu ielas virsmas atjaunošana </t>
  </si>
  <si>
    <t>04.51034</t>
  </si>
  <si>
    <t>Miera ielas pārbūve</t>
  </si>
  <si>
    <t>04.51035</t>
  </si>
  <si>
    <t>Bumbieru ielas, Ogresgalā pārbūve</t>
  </si>
  <si>
    <t>04.51037</t>
  </si>
  <si>
    <t>Autostāvlaukuma izbūve Mālkalnes prospektā 43, Ogrē</t>
  </si>
  <si>
    <t>04.51038</t>
  </si>
  <si>
    <t>Velo trase ar izciļņiem (Pump track)</t>
  </si>
  <si>
    <t>04.51039</t>
  </si>
  <si>
    <t>Ceriņu ielas, Ogrē pārbūve</t>
  </si>
  <si>
    <t>05.30013</t>
  </si>
  <si>
    <t>Ogres pašvaldības ēkas Skolas ielā 12, Ogrē energoefektivitātes paaugstināšana izmantojot atjaunojamos energoresursus Projekta Nr. 4.2.2.0/20/I/009</t>
  </si>
  <si>
    <t>05.30014</t>
  </si>
  <si>
    <t>Ogresgala pagasta pirmsskolas izglītības iestādes “Ābelīte” energoefektivitātes pasākumi (atjaunošana)</t>
  </si>
  <si>
    <t>06.60030</t>
  </si>
  <si>
    <t>Bākas uz mola projektēšana un būvniecība</t>
  </si>
  <si>
    <t>09.82057</t>
  </si>
  <si>
    <t>Erasmus programmas projekts Nr.2020-1-TR01-KA229-092959 4, Pusaudžu domasi, (sākumskola)</t>
  </si>
  <si>
    <t>09.82058</t>
  </si>
  <si>
    <t>Erasmus programmas projekts Nr.2020-1-DE03-KA229-077592 6, Eiropas ilgtspējīgas un pietiekamības skola, (1.VSK.)</t>
  </si>
  <si>
    <t>Starptautiskā sadarbība</t>
  </si>
  <si>
    <t>Ogres novada pašvaldības 2021. gada pamatbudžeta  izdevumi atbilstoši ekonomiskajām kategorijām.</t>
  </si>
  <si>
    <t>08.29025</t>
  </si>
  <si>
    <t>"Ogre-Eiropas kultūras galvaspilsēta 2027"</t>
  </si>
  <si>
    <t>06.60031</t>
  </si>
  <si>
    <t>Projekts "Sugu un biotopu stāvokļa uzlabošanas pasākumi īpaši aizsargājamajā dabas teritorijā "Ogres ieleja""</t>
  </si>
  <si>
    <t>06.3002</t>
  </si>
  <si>
    <t>09.82059</t>
  </si>
  <si>
    <t>09.82060</t>
  </si>
  <si>
    <t>Urbuma un ūdensapgādes sistēmas būvniecība Krapē daudzdzīvokļu mājai “Modernieki”</t>
  </si>
  <si>
    <t>Vides pieejamības nodrošināšanai Ogres Valsts ģimnāzijai</t>
  </si>
  <si>
    <t>"Pašvaldības ēkas fasādes un kabinetu (telpu grupu) atjaunošana Ziedu ielā3, Ķeipenē"</t>
  </si>
  <si>
    <t>08.4001</t>
  </si>
  <si>
    <t>9.1.0.0.</t>
  </si>
  <si>
    <t>Valsts nodevas par valsts sniegto nodrošinājumu un juridiskajiem un citiem pakalp.</t>
  </si>
  <si>
    <t xml:space="preserve">    Sudrabu Edžus memoriālā istaba</t>
  </si>
  <si>
    <t>Birzgales muzejs "Rūķi"</t>
  </si>
  <si>
    <t xml:space="preserve">Sports </t>
  </si>
  <si>
    <t>08.600</t>
  </si>
  <si>
    <t>Pārējie citur neklasificētie sporta, atpūtas, kultūras un reliģijas pakalpojumi</t>
  </si>
  <si>
    <t>Līdzfinansējumi dienas centriem</t>
  </si>
  <si>
    <t>Tūrisma attīstība</t>
  </si>
  <si>
    <t>ES struktūrf.proj."Vietējās sabiedr.veselības veicināš.un slimību profil.Ķeguma nov."</t>
  </si>
  <si>
    <t>Projekts "Daugava pie Kaibalas"</t>
  </si>
  <si>
    <t>Leader projekts 2020</t>
  </si>
  <si>
    <t>PII "Urdaviņa"</t>
  </si>
  <si>
    <t>PII "Čiekuriņš"</t>
  </si>
  <si>
    <t>PII Tīnūžu sākumskolā</t>
  </si>
  <si>
    <t>PII "Gaismiņa"</t>
  </si>
  <si>
    <t>PII "Birztaliņa"</t>
  </si>
  <si>
    <t>PII Ķeguma komercvidusskola</t>
  </si>
  <si>
    <t>Ķeguma komercnovirziena vidusskola</t>
  </si>
  <si>
    <t>Birzgales pamatskola</t>
  </si>
  <si>
    <t>Erasmus + programma  Līg.Nr. 2018-1-LV01-KA229-046985_1</t>
  </si>
  <si>
    <t>ESF proj.Nr.8.3.5.0/16/I/001"Karjeras atbalsts visp.un prof. izglītības iestādēs"</t>
  </si>
  <si>
    <t>Birzgales mūzikas skola</t>
  </si>
  <si>
    <t>Ķeguma SAC "Senliepas"</t>
  </si>
  <si>
    <t>10.900</t>
  </si>
  <si>
    <t>Pārējā citur neklasificētā sociālā aizsardzība</t>
  </si>
  <si>
    <t>Skolēnu nodarbinātība</t>
  </si>
  <si>
    <t>COVID-19</t>
  </si>
  <si>
    <t>Pārējo vispārējas  nozīmes dienestu darbība un pakalpojumi</t>
  </si>
  <si>
    <t>Projekts "Riekstu ielas izbūve"</t>
  </si>
  <si>
    <t>Projekts Raiņa ielas-Gaismas ielas, edgarakauliņa, Austrinu ceļa atjaunošana</t>
  </si>
  <si>
    <t>Uzvaras, Meža ielas atjaunošana</t>
  </si>
  <si>
    <t>3 Ielu atjaunošanas projekti Lielvārdē, ziemeļu pusē</t>
  </si>
  <si>
    <t xml:space="preserve"> Projekts Īpaši aizsargājamās dabas teritorijas Daugava pie Kaibalas dabas aizsardzības plānā noteikto tūrisma un dabas aizsardzības aktivitāšu ieviešana</t>
  </si>
  <si>
    <t>Ielu apgaismojuma infrastruktūras atjaunošana /paplašināšana (Kaibalas skola -Silakalni-Krasti, Burtnieku iela, Jumpravas pag. Inženieru un Dzelzceļa iela, Dzelmes)</t>
  </si>
  <si>
    <t>EKLV projektēšana</t>
  </si>
  <si>
    <t>Sabiedrības līdzlemta budžetēšana. Iedzīvotāju projekta ideju relizācija atbilstoši Attīstības programmai</t>
  </si>
  <si>
    <t>Lielvārdes KC Jumta un lielās zāles remontam</t>
  </si>
  <si>
    <t>Lēdmanes pagasta teritorijas "Gaismas" laukuma labiekārtošanas darbi (bruģēšana + apgaismojums).</t>
  </si>
  <si>
    <t>Dzīvojamās mājas "Vecavoti" fasādes remonts</t>
  </si>
  <si>
    <t xml:space="preserve">  SIA Lielvārdes Remte-pašvaldības teritorijas un kapu apsaimniekošanai domes finansējums deliģētās funkcijas izpildei</t>
  </si>
  <si>
    <t>SIA Lielvārdes Remte-pašvaldības īpašumu -mājokļu apsaimniekošnai finansējums domes deliģētās funkcijas izpildei</t>
  </si>
  <si>
    <t>Lielvārdes pilsētas Lāčplēša laukuma pārbūve</t>
  </si>
  <si>
    <t>Projekts ESF Lielvārdes pilsētas veselības veicināšana</t>
  </si>
  <si>
    <t>Projekts ERAF Lielvārdes poliklīnikas infrastruktūras uzlabošana A.Kauliņas un L.Rancānes  ārsta praksēm</t>
  </si>
  <si>
    <t xml:space="preserve"> Veselības veicināšana-Projekts ESF Nr. 9.3.2.0/19/A/127-"Lielvārdes poliklīnikas infrastr.ārstu praksē</t>
  </si>
  <si>
    <t>Jaunas VPII būvniecība</t>
  </si>
  <si>
    <t xml:space="preserve"> VPII "Pūt vējiņi" </t>
  </si>
  <si>
    <t>Lielvārdes pamatskola</t>
  </si>
  <si>
    <t>Lēdmanes pamatskola</t>
  </si>
  <si>
    <t>Jumpravas pamatskola</t>
  </si>
  <si>
    <t>Valdemāra pamatskola</t>
  </si>
  <si>
    <t>Edkara Kauliņa Lielvārdes vidusskola</t>
  </si>
  <si>
    <t>ES fonda projekta Nr. 8.3.5.0/16/I001 "Karjeras atbalsts vispārējās un profesionālās izglītības</t>
  </si>
  <si>
    <t xml:space="preserve">  E.Kauliņa Lielvārdes vidusskola ERASMUS+ programmas projekts Nr.2019-1-ES01-KA229-064176-4</t>
  </si>
  <si>
    <t>Lielvārdes sporta centrs</t>
  </si>
  <si>
    <t>Lielvārdes Mūzikas un mākslas skola</t>
  </si>
  <si>
    <t xml:space="preserve"> ERASMUS+"A.L.C.H.M.I.A" PROJEKTS Nr.2020-1-FI01-KA227-SCH-092716 Lielvārdes Mūzikas un mākslas skola</t>
  </si>
  <si>
    <t>Skolēnu vasaras nodarbinātības pasākumi</t>
  </si>
  <si>
    <t>Izglītības atbalsta pasākumi, bērnu vasaras nometne</t>
  </si>
  <si>
    <t>Izglītības atbalsta pasākumi (izglītības nodaļa)</t>
  </si>
  <si>
    <t xml:space="preserve"> ESF projekta "Proti un Dari" Nr.8.3.3.0/15/I/001 īstenošana</t>
  </si>
  <si>
    <t>Erasmus+ 2020-1-FR01-KA229-080395_3 Jumpravas pamatskola</t>
  </si>
  <si>
    <t>Erasmus+ 2020-1-PL01-KA229-081470_4 Jumpravas pamatskola</t>
  </si>
  <si>
    <t>Erasmus+ 2020-1-EE01-KA229-077961_4 Jumpravas pamatskola</t>
  </si>
  <si>
    <t>Erasmus+ 2020-1-LV01-KA229-077484 Jumpravas pamatskola</t>
  </si>
  <si>
    <t>Erasmus+ 2020-1-AT01-KA229-078145_3 Jumpravas pamatskola</t>
  </si>
  <si>
    <t>10.120</t>
  </si>
  <si>
    <t xml:space="preserve"> Sociālā aizsardzība invaliditātes gadījumā (asistenti)</t>
  </si>
  <si>
    <t xml:space="preserve"> Izglītības atbalsta pasākumi-sociālie pedagogi</t>
  </si>
  <si>
    <t>Bērnu vasaras nometnes (Jumpravā, Dienas centra)</t>
  </si>
  <si>
    <t>Pabalsti administrācija</t>
  </si>
  <si>
    <t>F55 01 00 10</t>
  </si>
  <si>
    <t>Valsts kases aizņēmumi</t>
  </si>
  <si>
    <t>Ikšķiles pilsētas un Tīnūžu pagasta pārvaldes 2021.g. budžets</t>
  </si>
  <si>
    <t>06.60032</t>
  </si>
  <si>
    <t>08.29026</t>
  </si>
  <si>
    <t>Ivestīciju projekts "Esošās ēkas rekonstrukcija Taurupes muižas klēts pārbūve"</t>
  </si>
  <si>
    <t>Investīciju projekts "Inženierbūves atjaunošana" Zvaigžņu iela 11, Ogrē</t>
  </si>
  <si>
    <t xml:space="preserve">    Līdzekļi, kas nododami finanšu izlīdzināšanas fondam</t>
  </si>
  <si>
    <t>Attīstības nodaļa</t>
  </si>
  <si>
    <t>Jaunatnes aktivitātes</t>
  </si>
  <si>
    <t>“Tūrisma, sporta un atpūtas komplekss“ ZILIE KALNI”</t>
  </si>
  <si>
    <t>Kultūras mantojuma centrs "Tīnūžu muiža"</t>
  </si>
  <si>
    <t>Projekts "Latvijas-Igaunijas Kopīgā Militārā Mantojuma Tūrisma Produkts""</t>
  </si>
  <si>
    <t>SIA Ikšķiles māja finansējums domes deliģēto funkciju izpildei</t>
  </si>
  <si>
    <t>Finansējums privātiem bērnu uzraudzības pakalpojumu sniedzējiem</t>
  </si>
  <si>
    <t>Tīnūžu sākumskola</t>
  </si>
  <si>
    <t>Ikšķiles vidusskola</t>
  </si>
  <si>
    <t>Ikšķiles Sporta skola</t>
  </si>
  <si>
    <t>Ikšķiles Mūzikas un mākslas skola</t>
  </si>
  <si>
    <t>Finansējums bērniem, kuri apmeklē privātās interešu izglītības iestādes</t>
  </si>
  <si>
    <t>Pašvaldību savstrapējie norēkini par izglītības paklpojumiem</t>
  </si>
  <si>
    <t>Ikšķiles vidusskola - ERASMUS+ programma Skolu apmaiņas partnerība</t>
  </si>
  <si>
    <t xml:space="preserve"> ERASMUS + projekts Cross-sectorial cooperation for reaching out to the youth</t>
  </si>
  <si>
    <t>ERASMUS + projekts The power of youth - Shaking the Present, Building the Future</t>
  </si>
  <si>
    <t>Jaunatnes starptautisko programmu aģentūras projekts "Atbalsts IKvienam jaunietim"</t>
  </si>
  <si>
    <t>PSIA "Ikšķiles māja" ieguldījums pamatkapitālā</t>
  </si>
  <si>
    <t>SIA "Lielvārdes Remte" ieguldījums pamatkapitālā</t>
  </si>
  <si>
    <t>Aģentūra “Tūrisma, sporta un atpūtas kompleksa “ZILIE KALNI” attīstības aģentūra"</t>
  </si>
  <si>
    <t xml:space="preserve">Teritoriju un mājokļu apsaimniekošana </t>
  </si>
  <si>
    <t>Birzgales komunālā nodaļa</t>
  </si>
  <si>
    <t>Autoceļu fonds</t>
  </si>
  <si>
    <t>Kultūras pārvalde</t>
  </si>
  <si>
    <t>Interešu izglītības iestādes</t>
  </si>
  <si>
    <t>Skolēnu vasaras nodarbinātības programma</t>
  </si>
  <si>
    <t>03.3900</t>
  </si>
  <si>
    <t>Pārējās tieslietu iestādes</t>
  </si>
  <si>
    <t>Aprūpes pakalpojumi bērniem</t>
  </si>
  <si>
    <t>04.730</t>
  </si>
  <si>
    <t>0.600</t>
  </si>
  <si>
    <t>07.450</t>
  </si>
  <si>
    <t>10.910</t>
  </si>
  <si>
    <t>F40 02 00 20</t>
  </si>
  <si>
    <t xml:space="preserve">Aizņēmumu atmaksa        </t>
  </si>
  <si>
    <t>F40 02 00 10</t>
  </si>
  <si>
    <t>01.300</t>
  </si>
  <si>
    <t xml:space="preserve">Līdzfinansējumi </t>
  </si>
  <si>
    <t>09.82061</t>
  </si>
  <si>
    <t>Atbalsts bērnu un jauniešu nometņu organizēšanai Ogres novada pašvaldības iestādēs</t>
  </si>
  <si>
    <t>Ķeguma pilsētas un pagastu pārvaldes 2021.g. budžets</t>
  </si>
  <si>
    <t>Lielvārdes pilsētas un pagastu pārvaldes 2021.g. budžets</t>
  </si>
  <si>
    <t>09.82062</t>
  </si>
  <si>
    <t>09.82063</t>
  </si>
  <si>
    <t>Jaunatnes starptautisko programmu aģentūras projekts "Nesēdi mājās-strādā ar sevi" Ķegums</t>
  </si>
  <si>
    <t>04.51041</t>
  </si>
  <si>
    <t>04.51042</t>
  </si>
  <si>
    <t>04.51043</t>
  </si>
  <si>
    <t>"Madlienas ielas seguma atjaunošana un lietus ūdens kanalizācijas sistēmas izveide" realizācijai</t>
  </si>
  <si>
    <t>"Lauberes ielas seguma atjaunošana un lietus ūdens kanalizācijas sistēmas izveide" realizācijai</t>
  </si>
  <si>
    <t>"Bezdelīgu ielas seguma atjaunošana un lietus ūdens kanalizācijas sistēmas izveide" realizācijai</t>
  </si>
  <si>
    <t>Pārējie valsts budžeta uzturēšanas izdevumu transferti citiem budžetiem</t>
  </si>
  <si>
    <t xml:space="preserve">   </t>
  </si>
  <si>
    <t>09.82064</t>
  </si>
  <si>
    <t>ERASMUS proj. Sociālā uzņēmējdarbība Eiropā</t>
  </si>
  <si>
    <t>Sūkņu stacijas (Ogres vārti) projektēšana</t>
  </si>
  <si>
    <t>"Jauniešu māja" Brīvības 40, Ogrē pārbūve</t>
  </si>
  <si>
    <t>Pašvald. aģentūras "Kultūras centrs" 2021.g. budžets     9 mēn</t>
  </si>
  <si>
    <t>Ogres novada Kultūras centrs 2021.g. budžets    3 mēn.</t>
  </si>
  <si>
    <t>09.82065</t>
  </si>
  <si>
    <t xml:space="preserve">Projekts “Labbūtības ceļakartes aktivitāšu īstenošana Ogres novadā” īstenošanu </t>
  </si>
  <si>
    <t xml:space="preserve">Projekts “Ceļa pārbūve “Dubkalnu ezera meži”” </t>
  </si>
  <si>
    <t>04.51044</t>
  </si>
  <si>
    <t>Gājēju celiņa izbūve pie Doktorāta</t>
  </si>
  <si>
    <t>04.51045</t>
  </si>
  <si>
    <t>Jaunu Pašvaldības pakalpojumu sniegšanas veidu attīstība, 2</t>
  </si>
  <si>
    <t>09.82066</t>
  </si>
  <si>
    <t>16.12.2021. Saistošajiem noteikumiem Nr.29/2021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</si>
</sst>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.00\ &quot;€&quot;_-;\-* #,##0.00\ &quot;€&quot;_-;_-* &quot;-&quot;??\ &quot;€&quot;_-;_-@_-"/>
    <numFmt numFmtId="176" formatCode="#,##0\ &quot;Ls&quot;;[Red]\-#,##0\ &quot;Ls&quot;"/>
    <numFmt numFmtId="177" formatCode="_-* #,##0\ &quot;Ls&quot;_-;\-* #,##0\ &quot;Ls&quot;_-;_-* &quot;-&quot;\ &quot;Ls&quot;_-;_-@_-"/>
    <numFmt numFmtId="178" formatCode="_-* #,##0\ _L_s_-;\-* #,##0\ _L_s_-;_-* &quot;-&quot;\ _L_s_-;_-@_-"/>
    <numFmt numFmtId="179" formatCode="_-* #,##0.00\ &quot;Ls&quot;_-;\-* #,##0.00\ &quot;Ls&quot;_-;_-* &quot;-&quot;??\ &quot;Ls&quot;_-;_-@_-"/>
    <numFmt numFmtId="180" formatCode="_-* #,##0.00\ _L_s_-;\-* #,##0.00\ _L_s_-;_-* &quot;-&quot;??\ _L_s_-;_-@_-"/>
    <numFmt numFmtId="181" formatCode="0.0"/>
    <numFmt numFmtId="182" formatCode="0.000"/>
    <numFmt numFmtId="183" formatCode="0.0%"/>
    <numFmt numFmtId="184" formatCode="#,##0.0"/>
    <numFmt numFmtId="185" formatCode="#,##0.000"/>
    <numFmt numFmtId="186" formatCode="#,##0_);\(#,##0\)"/>
    <numFmt numFmtId="187" formatCode="#,##0_ ;[Red]\-#,##0\ "/>
    <numFmt numFmtId="188" formatCode="&quot;Jā&quot;;&quot;Jā&quot;;&quot;Nē&quot;"/>
    <numFmt numFmtId="189" formatCode="&quot;Patiess&quot;;&quot;Patiess&quot;;&quot;Aplams&quot;"/>
    <numFmt numFmtId="190" formatCode="&quot;Ieslēgts&quot;;&quot;Ieslēgts&quot;;&quot;Izslēgts&quot;"/>
    <numFmt numFmtId="191" formatCode="[$€-2]\ #\ ##,000_);[Red]\([$€-2]\ #\ ##,000\)"/>
  </numFmts>
  <fonts count="35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Times New Roman"/>
      <family val="1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1"/>
      <color indexed="10"/>
      <name val="Times New Roman"/>
      <family val="1"/>
    </font>
    <font>
      <sz val="16"/>
      <name val="Times New Roman"/>
      <family val="1"/>
    </font>
    <font>
      <b/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6" borderId="0" applyNumberFormat="0" applyBorder="0" applyAlignment="0" applyProtection="0"/>
    <xf numFmtId="0" fontId="7" fillId="19" borderId="0" applyNumberFormat="0" applyBorder="0" applyAlignment="0" applyProtection="0"/>
    <xf numFmtId="0" fontId="9" fillId="20" borderId="1" applyNumberFormat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9" borderId="1" applyNumberFormat="0" applyAlignment="0" applyProtection="0"/>
    <xf numFmtId="0" fontId="3" fillId="0" borderId="0" applyNumberFormat="0" applyFill="0" applyBorder="0" applyAlignment="0" applyProtection="0"/>
    <xf numFmtId="0" fontId="20" fillId="20" borderId="2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12" fillId="6" borderId="0" applyNumberFormat="0" applyBorder="0" applyAlignment="0" applyProtection="0"/>
    <xf numFmtId="0" fontId="18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10" fillId="22" borderId="4" applyNumberFormat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17" fillId="0" borderId="6" applyNumberFormat="0" applyFill="0" applyAlignment="0" applyProtection="0"/>
    <xf numFmtId="0" fontId="8" fillId="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4" fillId="24" borderId="10" xfId="0" applyNumberFormat="1" applyFont="1" applyFill="1" applyBorder="1" applyAlignment="1">
      <alignment/>
    </xf>
    <xf numFmtId="0" fontId="4" fillId="0" borderId="11" xfId="51" applyFont="1" applyBorder="1" applyAlignment="1">
      <alignment horizontal="left" wrapText="1"/>
      <protection/>
    </xf>
    <xf numFmtId="0" fontId="4" fillId="0" borderId="12" xfId="51" applyFont="1" applyBorder="1" applyAlignment="1">
      <alignment horizontal="left" wrapText="1"/>
      <protection/>
    </xf>
    <xf numFmtId="3" fontId="4" fillId="0" borderId="10" xfId="0" applyNumberFormat="1" applyFont="1" applyBorder="1" applyAlignment="1">
      <alignment horizontal="left" wrapText="1"/>
    </xf>
    <xf numFmtId="3" fontId="4" fillId="25" borderId="10" xfId="0" applyNumberFormat="1" applyFont="1" applyFill="1" applyBorder="1" applyAlignment="1">
      <alignment/>
    </xf>
    <xf numFmtId="0" fontId="4" fillId="0" borderId="0" xfId="50" applyFont="1" applyAlignment="1">
      <alignment wrapText="1"/>
      <protection/>
    </xf>
    <xf numFmtId="0" fontId="4" fillId="0" borderId="10" xfId="57" applyFont="1" applyBorder="1" applyAlignment="1">
      <alignment wrapText="1"/>
      <protection/>
    </xf>
    <xf numFmtId="0" fontId="4" fillId="0" borderId="10" xfId="57" applyFont="1" applyBorder="1" applyAlignment="1">
      <alignment horizontal="left" wrapText="1"/>
      <protection/>
    </xf>
    <xf numFmtId="49" fontId="5" fillId="0" borderId="13" xfId="57" applyNumberFormat="1" applyFont="1" applyBorder="1" applyAlignment="1">
      <alignment horizontal="right"/>
      <protection/>
    </xf>
    <xf numFmtId="49" fontId="4" fillId="0" borderId="13" xfId="57" applyNumberFormat="1" applyFont="1" applyBorder="1" applyAlignment="1">
      <alignment horizontal="right"/>
      <protection/>
    </xf>
    <xf numFmtId="49" fontId="4" fillId="0" borderId="14" xfId="57" applyNumberFormat="1" applyFont="1" applyBorder="1" applyAlignment="1">
      <alignment horizontal="right"/>
      <protection/>
    </xf>
    <xf numFmtId="0" fontId="24" fillId="0" borderId="10" xfId="51" applyFont="1" applyBorder="1" applyAlignment="1">
      <alignment horizontal="left" wrapText="1"/>
      <protection/>
    </xf>
    <xf numFmtId="0" fontId="24" fillId="25" borderId="10" xfId="51" applyFont="1" applyFill="1" applyBorder="1" applyAlignment="1">
      <alignment horizontal="left" wrapText="1"/>
      <protection/>
    </xf>
    <xf numFmtId="0" fontId="4" fillId="0" borderId="15" xfId="57" applyFont="1" applyBorder="1" applyAlignment="1">
      <alignment wrapText="1"/>
      <protection/>
    </xf>
    <xf numFmtId="0" fontId="24" fillId="0" borderId="15" xfId="5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0" fontId="4" fillId="0" borderId="16" xfId="54" applyFont="1" applyFill="1" applyBorder="1" applyAlignment="1">
      <alignment vertical="center" wrapText="1"/>
      <protection/>
    </xf>
    <xf numFmtId="3" fontId="4" fillId="0" borderId="10" xfId="0" applyNumberFormat="1" applyFont="1" applyFill="1" applyBorder="1" applyAlignment="1">
      <alignment wrapText="1"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4" fillId="0" borderId="10" xfId="51" applyFont="1" applyFill="1" applyBorder="1" applyAlignment="1">
      <alignment horizontal="left" wrapText="1"/>
      <protection/>
    </xf>
    <xf numFmtId="0" fontId="4" fillId="0" borderId="15" xfId="51" applyFont="1" applyFill="1" applyBorder="1" applyAlignment="1">
      <alignment horizontal="left" wrapText="1"/>
      <protection/>
    </xf>
    <xf numFmtId="3" fontId="4" fillId="0" borderId="0" xfId="0" applyNumberFormat="1" applyFont="1" applyFill="1" applyAlignment="1">
      <alignment horizontal="center" wrapText="1"/>
    </xf>
    <xf numFmtId="3" fontId="4" fillId="0" borderId="0" xfId="0" applyNumberFormat="1" applyFont="1" applyFill="1" applyAlignment="1">
      <alignment/>
    </xf>
    <xf numFmtId="3" fontId="5" fillId="0" borderId="19" xfId="0" applyNumberFormat="1" applyFont="1" applyBorder="1" applyAlignment="1">
      <alignment/>
    </xf>
    <xf numFmtId="3" fontId="5" fillId="0" borderId="18" xfId="0" applyNumberFormat="1" applyFont="1" applyBorder="1" applyAlignment="1">
      <alignment/>
    </xf>
    <xf numFmtId="3" fontId="5" fillId="0" borderId="10" xfId="0" applyNumberFormat="1" applyFont="1" applyFill="1" applyBorder="1" applyAlignment="1">
      <alignment/>
    </xf>
    <xf numFmtId="3" fontId="5" fillId="0" borderId="18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horizontal="left" wrapText="1"/>
    </xf>
    <xf numFmtId="0" fontId="4" fillId="0" borderId="20" xfId="0" applyFont="1" applyFill="1" applyBorder="1" applyAlignment="1">
      <alignment/>
    </xf>
    <xf numFmtId="0" fontId="24" fillId="0" borderId="21" xfId="0" applyFont="1" applyFill="1" applyBorder="1" applyAlignment="1">
      <alignment horizontal="center" vertical="center"/>
    </xf>
    <xf numFmtId="0" fontId="24" fillId="0" borderId="16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3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50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wrapText="1"/>
    </xf>
    <xf numFmtId="3" fontId="5" fillId="0" borderId="16" xfId="0" applyNumberFormat="1" applyFont="1" applyFill="1" applyBorder="1" applyAlignment="1">
      <alignment/>
    </xf>
    <xf numFmtId="3" fontId="5" fillId="0" borderId="23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wrapText="1"/>
    </xf>
    <xf numFmtId="3" fontId="4" fillId="0" borderId="12" xfId="0" applyNumberFormat="1" applyFont="1" applyFill="1" applyBorder="1" applyAlignment="1">
      <alignment/>
    </xf>
    <xf numFmtId="3" fontId="5" fillId="0" borderId="24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/>
    </xf>
    <xf numFmtId="3" fontId="4" fillId="0" borderId="13" xfId="0" applyNumberFormat="1" applyFont="1" applyFill="1" applyBorder="1" applyAlignment="1">
      <alignment horizontal="left"/>
    </xf>
    <xf numFmtId="3" fontId="4" fillId="0" borderId="25" xfId="0" applyNumberFormat="1" applyFont="1" applyFill="1" applyBorder="1" applyAlignment="1">
      <alignment/>
    </xf>
    <xf numFmtId="3" fontId="4" fillId="25" borderId="25" xfId="0" applyNumberFormat="1" applyFont="1" applyFill="1" applyBorder="1" applyAlignment="1">
      <alignment/>
    </xf>
    <xf numFmtId="3" fontId="4" fillId="0" borderId="2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4" fillId="0" borderId="28" xfId="0" applyFont="1" applyFill="1" applyBorder="1" applyAlignment="1">
      <alignment horizontal="left"/>
    </xf>
    <xf numFmtId="0" fontId="4" fillId="0" borderId="29" xfId="0" applyFont="1" applyFill="1" applyBorder="1" applyAlignment="1">
      <alignment wrapText="1"/>
    </xf>
    <xf numFmtId="3" fontId="4" fillId="0" borderId="30" xfId="0" applyNumberFormat="1" applyFont="1" applyFill="1" applyBorder="1" applyAlignment="1">
      <alignment/>
    </xf>
    <xf numFmtId="3" fontId="4" fillId="25" borderId="30" xfId="0" applyNumberFormat="1" applyFont="1" applyFill="1" applyBorder="1" applyAlignment="1">
      <alignment/>
    </xf>
    <xf numFmtId="3" fontId="4" fillId="0" borderId="31" xfId="0" applyNumberFormat="1" applyFont="1" applyFill="1" applyBorder="1" applyAlignment="1">
      <alignment/>
    </xf>
    <xf numFmtId="3" fontId="1" fillId="0" borderId="29" xfId="0" applyNumberFormat="1" applyFont="1" applyFill="1" applyBorder="1" applyAlignment="1">
      <alignment/>
    </xf>
    <xf numFmtId="3" fontId="4" fillId="0" borderId="29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left"/>
    </xf>
    <xf numFmtId="3" fontId="4" fillId="0" borderId="29" xfId="0" applyNumberFormat="1" applyFont="1" applyFill="1" applyBorder="1" applyAlignment="1">
      <alignment wrapText="1"/>
    </xf>
    <xf numFmtId="3" fontId="4" fillId="25" borderId="29" xfId="0" applyNumberFormat="1" applyFont="1" applyFill="1" applyBorder="1" applyAlignment="1">
      <alignment/>
    </xf>
    <xf numFmtId="3" fontId="4" fillId="0" borderId="11" xfId="0" applyNumberFormat="1" applyFont="1" applyFill="1" applyBorder="1" applyAlignment="1">
      <alignment/>
    </xf>
    <xf numFmtId="3" fontId="5" fillId="0" borderId="32" xfId="0" applyNumberFormat="1" applyFont="1" applyFill="1" applyBorder="1" applyAlignment="1">
      <alignment/>
    </xf>
    <xf numFmtId="0" fontId="4" fillId="0" borderId="14" xfId="0" applyFont="1" applyBorder="1" applyAlignment="1">
      <alignment horizontal="left"/>
    </xf>
    <xf numFmtId="0" fontId="5" fillId="0" borderId="18" xfId="0" applyFont="1" applyBorder="1" applyAlignment="1">
      <alignment wrapText="1"/>
    </xf>
    <xf numFmtId="3" fontId="4" fillId="25" borderId="18" xfId="0" applyNumberFormat="1" applyFont="1" applyFill="1" applyBorder="1" applyAlignment="1">
      <alignment/>
    </xf>
    <xf numFmtId="3" fontId="5" fillId="0" borderId="24" xfId="0" applyNumberFormat="1" applyFont="1" applyBorder="1" applyAlignment="1">
      <alignment/>
    </xf>
    <xf numFmtId="3" fontId="4" fillId="0" borderId="33" xfId="0" applyNumberFormat="1" applyFont="1" applyFill="1" applyBorder="1" applyAlignment="1">
      <alignment/>
    </xf>
    <xf numFmtId="3" fontId="4" fillId="0" borderId="34" xfId="0" applyNumberFormat="1" applyFont="1" applyFill="1" applyBorder="1" applyAlignment="1">
      <alignment/>
    </xf>
    <xf numFmtId="3" fontId="5" fillId="0" borderId="35" xfId="0" applyNumberFormat="1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wrapText="1"/>
    </xf>
    <xf numFmtId="3" fontId="4" fillId="0" borderId="15" xfId="0" applyNumberFormat="1" applyFont="1" applyFill="1" applyBorder="1" applyAlignment="1">
      <alignment/>
    </xf>
    <xf numFmtId="3" fontId="4" fillId="0" borderId="36" xfId="0" applyNumberFormat="1" applyFont="1" applyFill="1" applyBorder="1" applyAlignment="1">
      <alignment/>
    </xf>
    <xf numFmtId="3" fontId="5" fillId="0" borderId="21" xfId="0" applyNumberFormat="1" applyFont="1" applyFill="1" applyBorder="1" applyAlignment="1">
      <alignment horizontal="left"/>
    </xf>
    <xf numFmtId="3" fontId="4" fillId="0" borderId="37" xfId="0" applyNumberFormat="1" applyFont="1" applyFill="1" applyBorder="1" applyAlignment="1">
      <alignment horizontal="left"/>
    </xf>
    <xf numFmtId="3" fontId="4" fillId="0" borderId="18" xfId="0" applyNumberFormat="1" applyFont="1" applyFill="1" applyBorder="1" applyAlignment="1">
      <alignment wrapText="1"/>
    </xf>
    <xf numFmtId="3" fontId="4" fillId="0" borderId="38" xfId="0" applyNumberFormat="1" applyFont="1" applyFill="1" applyBorder="1" applyAlignment="1">
      <alignment/>
    </xf>
    <xf numFmtId="3" fontId="4" fillId="24" borderId="39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left"/>
    </xf>
    <xf numFmtId="3" fontId="25" fillId="0" borderId="0" xfId="0" applyNumberFormat="1" applyFont="1" applyAlignment="1">
      <alignment wrapText="1"/>
    </xf>
    <xf numFmtId="3" fontId="5" fillId="0" borderId="12" xfId="0" applyNumberFormat="1" applyFont="1" applyFill="1" applyBorder="1" applyAlignment="1">
      <alignment/>
    </xf>
    <xf numFmtId="3" fontId="5" fillId="0" borderId="13" xfId="0" applyNumberFormat="1" applyFont="1" applyFill="1" applyBorder="1" applyAlignment="1">
      <alignment horizontal="left"/>
    </xf>
    <xf numFmtId="3" fontId="5" fillId="0" borderId="10" xfId="0" applyNumberFormat="1" applyFont="1" applyFill="1" applyBorder="1" applyAlignment="1">
      <alignment wrapText="1"/>
    </xf>
    <xf numFmtId="3" fontId="5" fillId="0" borderId="26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/>
    </xf>
    <xf numFmtId="3" fontId="5" fillId="0" borderId="20" xfId="0" applyNumberFormat="1" applyFont="1" applyFill="1" applyBorder="1" applyAlignment="1">
      <alignment/>
    </xf>
    <xf numFmtId="3" fontId="4" fillId="0" borderId="40" xfId="0" applyNumberFormat="1" applyFont="1" applyFill="1" applyBorder="1" applyAlignment="1">
      <alignment/>
    </xf>
    <xf numFmtId="3" fontId="1" fillId="0" borderId="25" xfId="0" applyNumberFormat="1" applyFont="1" applyFill="1" applyBorder="1" applyAlignment="1">
      <alignment/>
    </xf>
    <xf numFmtId="3" fontId="1" fillId="0" borderId="15" xfId="0" applyNumberFormat="1" applyFont="1" applyFill="1" applyBorder="1" applyAlignment="1">
      <alignment/>
    </xf>
    <xf numFmtId="3" fontId="4" fillId="0" borderId="41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right" wrapText="1"/>
    </xf>
    <xf numFmtId="3" fontId="5" fillId="0" borderId="16" xfId="0" applyNumberFormat="1" applyFont="1" applyFill="1" applyBorder="1" applyAlignment="1">
      <alignment horizontal="center"/>
    </xf>
    <xf numFmtId="3" fontId="5" fillId="0" borderId="23" xfId="0" applyNumberFormat="1" applyFont="1" applyFill="1" applyBorder="1" applyAlignment="1">
      <alignment horizontal="center"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 horizontal="left" wrapText="1"/>
      <protection/>
    </xf>
    <xf numFmtId="3" fontId="5" fillId="0" borderId="10" xfId="0" applyNumberFormat="1" applyFont="1" applyFill="1" applyBorder="1" applyAlignment="1" applyProtection="1">
      <alignment horizontal="center"/>
      <protection/>
    </xf>
    <xf numFmtId="3" fontId="5" fillId="0" borderId="2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4" fillId="0" borderId="10" xfId="0" applyNumberFormat="1" applyFont="1" applyFill="1" applyBorder="1" applyAlignment="1" applyProtection="1">
      <alignment horizontal="left" wrapText="1"/>
      <protection/>
    </xf>
    <xf numFmtId="3" fontId="4" fillId="0" borderId="10" xfId="0" applyNumberFormat="1" applyFont="1" applyFill="1" applyBorder="1" applyAlignment="1" applyProtection="1">
      <alignment horizontal="center"/>
      <protection/>
    </xf>
    <xf numFmtId="3" fontId="4" fillId="25" borderId="10" xfId="0" applyNumberFormat="1" applyFont="1" applyFill="1" applyBorder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horizontal="right"/>
      <protection/>
    </xf>
    <xf numFmtId="3" fontId="24" fillId="0" borderId="21" xfId="0" applyNumberFormat="1" applyFont="1" applyFill="1" applyBorder="1" applyAlignment="1">
      <alignment horizontal="center" vertical="center"/>
    </xf>
    <xf numFmtId="3" fontId="24" fillId="0" borderId="16" xfId="0" applyNumberFormat="1" applyFont="1" applyFill="1" applyBorder="1" applyAlignment="1" applyProtection="1">
      <alignment horizontal="center" vertical="center" wrapText="1"/>
      <protection/>
    </xf>
    <xf numFmtId="3" fontId="4" fillId="0" borderId="42" xfId="53" applyNumberFormat="1" applyFont="1" applyFill="1" applyBorder="1" applyAlignment="1">
      <alignment horizontal="center" vertical="center" wrapText="1"/>
      <protection/>
    </xf>
    <xf numFmtId="3" fontId="4" fillId="0" borderId="16" xfId="54" applyNumberFormat="1" applyFont="1" applyFill="1" applyBorder="1" applyAlignment="1">
      <alignment vertical="center" wrapText="1"/>
      <protection/>
    </xf>
    <xf numFmtId="3" fontId="4" fillId="0" borderId="23" xfId="54" applyNumberFormat="1" applyFont="1" applyFill="1" applyBorder="1" applyAlignment="1">
      <alignment vertical="center" wrapText="1"/>
      <protection/>
    </xf>
    <xf numFmtId="3" fontId="5" fillId="0" borderId="22" xfId="50" applyNumberFormat="1" applyFont="1" applyFill="1" applyBorder="1" applyAlignment="1" applyProtection="1">
      <alignment horizontal="center" vertical="center" wrapText="1"/>
      <protection/>
    </xf>
    <xf numFmtId="3" fontId="5" fillId="0" borderId="21" xfId="0" applyNumberFormat="1" applyFont="1" applyFill="1" applyBorder="1" applyAlignment="1">
      <alignment/>
    </xf>
    <xf numFmtId="3" fontId="5" fillId="0" borderId="14" xfId="0" applyNumberFormat="1" applyFont="1" applyFill="1" applyBorder="1" applyAlignment="1">
      <alignment horizontal="right"/>
    </xf>
    <xf numFmtId="3" fontId="5" fillId="0" borderId="12" xfId="0" applyNumberFormat="1" applyFont="1" applyFill="1" applyBorder="1" applyAlignment="1">
      <alignment wrapText="1"/>
    </xf>
    <xf numFmtId="3" fontId="5" fillId="0" borderId="17" xfId="0" applyNumberFormat="1" applyFont="1" applyFill="1" applyBorder="1" applyAlignment="1">
      <alignment/>
    </xf>
    <xf numFmtId="3" fontId="5" fillId="0" borderId="43" xfId="0" applyNumberFormat="1" applyFont="1" applyFill="1" applyBorder="1" applyAlignment="1">
      <alignment/>
    </xf>
    <xf numFmtId="3" fontId="5" fillId="0" borderId="34" xfId="0" applyNumberFormat="1" applyFont="1" applyFill="1" applyBorder="1" applyAlignment="1">
      <alignment/>
    </xf>
    <xf numFmtId="3" fontId="5" fillId="0" borderId="44" xfId="0" applyNumberFormat="1" applyFont="1" applyFill="1" applyBorder="1" applyAlignment="1">
      <alignment/>
    </xf>
    <xf numFmtId="49" fontId="5" fillId="0" borderId="14" xfId="0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horizontal="right"/>
    </xf>
    <xf numFmtId="3" fontId="5" fillId="0" borderId="45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left" wrapText="1"/>
    </xf>
    <xf numFmtId="3" fontId="4" fillId="0" borderId="13" xfId="0" applyNumberFormat="1" applyFont="1" applyFill="1" applyBorder="1" applyAlignment="1">
      <alignment horizontal="right" wrapText="1"/>
    </xf>
    <xf numFmtId="3" fontId="4" fillId="25" borderId="20" xfId="0" applyNumberFormat="1" applyFont="1" applyFill="1" applyBorder="1" applyAlignment="1">
      <alignment/>
    </xf>
    <xf numFmtId="3" fontId="5" fillId="0" borderId="28" xfId="0" applyNumberFormat="1" applyFont="1" applyFill="1" applyBorder="1" applyAlignment="1">
      <alignment horizontal="right"/>
    </xf>
    <xf numFmtId="3" fontId="5" fillId="0" borderId="29" xfId="0" applyNumberFormat="1" applyFont="1" applyFill="1" applyBorder="1" applyAlignment="1">
      <alignment wrapText="1"/>
    </xf>
    <xf numFmtId="3" fontId="5" fillId="0" borderId="11" xfId="0" applyNumberFormat="1" applyFont="1" applyFill="1" applyBorder="1" applyAlignment="1">
      <alignment/>
    </xf>
    <xf numFmtId="3" fontId="5" fillId="25" borderId="11" xfId="0" applyNumberFormat="1" applyFont="1" applyFill="1" applyBorder="1" applyAlignment="1">
      <alignment/>
    </xf>
    <xf numFmtId="3" fontId="5" fillId="0" borderId="29" xfId="0" applyNumberFormat="1" applyFont="1" applyFill="1" applyBorder="1" applyAlignment="1">
      <alignment/>
    </xf>
    <xf numFmtId="3" fontId="5" fillId="0" borderId="39" xfId="0" applyNumberFormat="1" applyFont="1" applyFill="1" applyBorder="1" applyAlignment="1">
      <alignment/>
    </xf>
    <xf numFmtId="3" fontId="5" fillId="0" borderId="46" xfId="0" applyNumberFormat="1" applyFont="1" applyFill="1" applyBorder="1" applyAlignment="1">
      <alignment/>
    </xf>
    <xf numFmtId="3" fontId="4" fillId="25" borderId="17" xfId="0" applyNumberFormat="1" applyFont="1" applyFill="1" applyBorder="1" applyAlignment="1">
      <alignment/>
    </xf>
    <xf numFmtId="3" fontId="5" fillId="0" borderId="25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wrapText="1"/>
    </xf>
    <xf numFmtId="3" fontId="4" fillId="0" borderId="29" xfId="51" applyNumberFormat="1" applyFont="1" applyFill="1" applyBorder="1" applyAlignment="1">
      <alignment horizontal="left" wrapText="1"/>
      <protection/>
    </xf>
    <xf numFmtId="3" fontId="4" fillId="25" borderId="36" xfId="0" applyNumberFormat="1" applyFont="1" applyFill="1" applyBorder="1" applyAlignment="1">
      <alignment/>
    </xf>
    <xf numFmtId="3" fontId="5" fillId="0" borderId="10" xfId="0" applyNumberFormat="1" applyFont="1" applyFill="1" applyBorder="1" applyAlignment="1">
      <alignment horizontal="right"/>
    </xf>
    <xf numFmtId="3" fontId="5" fillId="0" borderId="15" xfId="57" applyNumberFormat="1" applyFont="1" applyBorder="1" applyAlignment="1">
      <alignment horizontal="right"/>
      <protection/>
    </xf>
    <xf numFmtId="3" fontId="5" fillId="0" borderId="15" xfId="57" applyNumberFormat="1" applyFont="1" applyBorder="1" applyAlignment="1">
      <alignment wrapText="1"/>
      <protection/>
    </xf>
    <xf numFmtId="3" fontId="5" fillId="0" borderId="36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left"/>
    </xf>
    <xf numFmtId="3" fontId="4" fillId="0" borderId="10" xfId="51" applyNumberFormat="1" applyFont="1" applyFill="1" applyBorder="1" applyAlignment="1">
      <alignment horizontal="left" wrapText="1"/>
      <protection/>
    </xf>
    <xf numFmtId="49" fontId="4" fillId="0" borderId="13" xfId="0" applyNumberFormat="1" applyFont="1" applyFill="1" applyBorder="1" applyAlignment="1">
      <alignment horizontal="right"/>
    </xf>
    <xf numFmtId="3" fontId="4" fillId="0" borderId="12" xfId="0" applyNumberFormat="1" applyFont="1" applyFill="1" applyBorder="1" applyAlignment="1">
      <alignment horizontal="left" wrapText="1"/>
    </xf>
    <xf numFmtId="3" fontId="5" fillId="0" borderId="12" xfId="0" applyNumberFormat="1" applyFont="1" applyFill="1" applyBorder="1" applyAlignment="1">
      <alignment horizontal="left" wrapText="1"/>
    </xf>
    <xf numFmtId="3" fontId="5" fillId="0" borderId="16" xfId="0" applyNumberFormat="1" applyFont="1" applyFill="1" applyBorder="1" applyAlignment="1">
      <alignment horizontal="left" wrapText="1"/>
    </xf>
    <xf numFmtId="3" fontId="5" fillId="0" borderId="47" xfId="0" applyNumberFormat="1" applyFont="1" applyFill="1" applyBorder="1" applyAlignment="1">
      <alignment/>
    </xf>
    <xf numFmtId="3" fontId="4" fillId="0" borderId="28" xfId="0" applyNumberFormat="1" applyFont="1" applyFill="1" applyBorder="1" applyAlignment="1">
      <alignment horizontal="right"/>
    </xf>
    <xf numFmtId="3" fontId="4" fillId="0" borderId="12" xfId="51" applyNumberFormat="1" applyFont="1" applyFill="1" applyBorder="1" applyAlignment="1">
      <alignment horizontal="left" wrapText="1"/>
      <protection/>
    </xf>
    <xf numFmtId="3" fontId="4" fillId="0" borderId="35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left" wrapText="1"/>
    </xf>
    <xf numFmtId="3" fontId="4" fillId="25" borderId="10" xfId="57" applyNumberFormat="1" applyFont="1" applyFill="1" applyBorder="1" applyAlignment="1">
      <alignment horizontal="left" wrapText="1"/>
      <protection/>
    </xf>
    <xf numFmtId="3" fontId="4" fillId="0" borderId="29" xfId="0" applyNumberFormat="1" applyFont="1" applyBorder="1" applyAlignment="1">
      <alignment horizontal="left" wrapText="1"/>
    </xf>
    <xf numFmtId="3" fontId="5" fillId="0" borderId="29" xfId="0" applyNumberFormat="1" applyFont="1" applyBorder="1" applyAlignment="1">
      <alignment horizontal="left" wrapText="1"/>
    </xf>
    <xf numFmtId="3" fontId="5" fillId="25" borderId="2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wrapText="1"/>
    </xf>
    <xf numFmtId="3" fontId="5" fillId="0" borderId="15" xfId="0" applyNumberFormat="1" applyFont="1" applyFill="1" applyBorder="1" applyAlignment="1">
      <alignment/>
    </xf>
    <xf numFmtId="3" fontId="5" fillId="0" borderId="48" xfId="0" applyNumberFormat="1" applyFont="1" applyFill="1" applyBorder="1" applyAlignment="1">
      <alignment horizontal="left"/>
    </xf>
    <xf numFmtId="3" fontId="5" fillId="0" borderId="49" xfId="0" applyNumberFormat="1" applyFont="1" applyFill="1" applyBorder="1" applyAlignment="1">
      <alignment horizontal="right"/>
    </xf>
    <xf numFmtId="3" fontId="5" fillId="0" borderId="50" xfId="0" applyNumberFormat="1" applyFont="1" applyFill="1" applyBorder="1" applyAlignment="1">
      <alignment wrapText="1"/>
    </xf>
    <xf numFmtId="3" fontId="5" fillId="0" borderId="51" xfId="0" applyNumberFormat="1" applyFont="1" applyFill="1" applyBorder="1" applyAlignment="1">
      <alignment/>
    </xf>
    <xf numFmtId="3" fontId="5" fillId="0" borderId="52" xfId="0" applyNumberFormat="1" applyFont="1" applyFill="1" applyBorder="1" applyAlignment="1">
      <alignment/>
    </xf>
    <xf numFmtId="3" fontId="4" fillId="0" borderId="14" xfId="57" applyNumberFormat="1" applyFont="1" applyBorder="1" applyAlignment="1">
      <alignment horizontal="right"/>
      <protection/>
    </xf>
    <xf numFmtId="3" fontId="4" fillId="0" borderId="10" xfId="51" applyNumberFormat="1" applyFont="1" applyBorder="1" applyAlignment="1">
      <alignment horizontal="left" wrapText="1"/>
      <protection/>
    </xf>
    <xf numFmtId="3" fontId="24" fillId="0" borderId="10" xfId="51" applyNumberFormat="1" applyFont="1" applyBorder="1" applyAlignment="1">
      <alignment horizontal="left" wrapText="1"/>
      <protection/>
    </xf>
    <xf numFmtId="3" fontId="24" fillId="0" borderId="15" xfId="51" applyNumberFormat="1" applyFont="1" applyBorder="1" applyAlignment="1">
      <alignment horizontal="left" wrapText="1"/>
      <protection/>
    </xf>
    <xf numFmtId="3" fontId="24" fillId="0" borderId="29" xfId="51" applyNumberFormat="1" applyFont="1" applyBorder="1" applyAlignment="1">
      <alignment horizontal="left" wrapText="1"/>
      <protection/>
    </xf>
    <xf numFmtId="3" fontId="4" fillId="0" borderId="10" xfId="0" applyNumberFormat="1" applyFont="1" applyFill="1" applyBorder="1" applyAlignment="1">
      <alignment horizontal="left" wrapText="1"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0" borderId="10" xfId="57" applyNumberFormat="1" applyFont="1" applyBorder="1" applyAlignment="1">
      <alignment horizontal="right"/>
      <protection/>
    </xf>
    <xf numFmtId="3" fontId="5" fillId="0" borderId="18" xfId="0" applyNumberFormat="1" applyFont="1" applyFill="1" applyBorder="1" applyAlignment="1">
      <alignment wrapText="1"/>
    </xf>
    <xf numFmtId="3" fontId="5" fillId="0" borderId="19" xfId="0" applyNumberFormat="1" applyFont="1" applyFill="1" applyBorder="1" applyAlignment="1">
      <alignment/>
    </xf>
    <xf numFmtId="3" fontId="5" fillId="0" borderId="33" xfId="0" applyNumberFormat="1" applyFont="1" applyFill="1" applyBorder="1" applyAlignment="1">
      <alignment/>
    </xf>
    <xf numFmtId="3" fontId="4" fillId="0" borderId="21" xfId="0" applyNumberFormat="1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/>
      <protection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 horizontal="left" wrapText="1"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>
      <alignment wrapText="1"/>
    </xf>
    <xf numFmtId="3" fontId="4" fillId="0" borderId="0" xfId="50" applyNumberFormat="1" applyFont="1" applyFill="1" applyBorder="1" applyAlignment="1">
      <alignment horizontal="left" wrapText="1"/>
      <protection/>
    </xf>
    <xf numFmtId="3" fontId="27" fillId="0" borderId="0" xfId="0" applyNumberFormat="1" applyFont="1" applyFill="1" applyBorder="1" applyAlignment="1">
      <alignment horizontal="right" wrapText="1"/>
    </xf>
    <xf numFmtId="3" fontId="29" fillId="0" borderId="0" xfId="0" applyNumberFormat="1" applyFont="1" applyFill="1" applyBorder="1" applyAlignment="1">
      <alignment/>
    </xf>
    <xf numFmtId="3" fontId="4" fillId="0" borderId="0" xfId="0" applyNumberFormat="1" applyFont="1" applyFill="1" applyAlignment="1">
      <alignment wrapText="1"/>
    </xf>
    <xf numFmtId="3" fontId="29" fillId="0" borderId="0" xfId="0" applyNumberFormat="1" applyFont="1" applyFill="1" applyAlignment="1">
      <alignment/>
    </xf>
    <xf numFmtId="1" fontId="4" fillId="0" borderId="0" xfId="0" applyNumberFormat="1" applyFont="1" applyFill="1" applyAlignment="1">
      <alignment/>
    </xf>
    <xf numFmtId="0" fontId="4" fillId="0" borderId="0" xfId="55" applyFont="1" applyFill="1" applyAlignment="1">
      <alignment horizontal="left"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/>
    </xf>
    <xf numFmtId="181" fontId="4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 horizontal="center"/>
      <protection/>
    </xf>
    <xf numFmtId="3" fontId="27" fillId="0" borderId="0" xfId="0" applyNumberFormat="1" applyFont="1" applyFill="1" applyAlignment="1">
      <alignment/>
    </xf>
    <xf numFmtId="3" fontId="4" fillId="0" borderId="0" xfId="55" applyNumberFormat="1" applyFont="1" applyFill="1" applyAlignment="1">
      <alignment horizontal="right"/>
      <protection/>
    </xf>
    <xf numFmtId="3" fontId="4" fillId="0" borderId="0" xfId="55" applyNumberFormat="1" applyFont="1" applyFill="1" applyAlignment="1">
      <alignment horizontal="left"/>
      <protection/>
    </xf>
    <xf numFmtId="3" fontId="4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left"/>
    </xf>
    <xf numFmtId="3" fontId="5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/>
    </xf>
    <xf numFmtId="3" fontId="5" fillId="0" borderId="37" xfId="0" applyNumberFormat="1" applyFont="1" applyFill="1" applyBorder="1" applyAlignment="1">
      <alignment horizontal="left"/>
    </xf>
    <xf numFmtId="3" fontId="4" fillId="0" borderId="39" xfId="0" applyNumberFormat="1" applyFont="1" applyFill="1" applyBorder="1" applyAlignment="1">
      <alignment wrapText="1"/>
    </xf>
    <xf numFmtId="3" fontId="5" fillId="0" borderId="23" xfId="0" applyNumberFormat="1" applyFont="1" applyFill="1" applyBorder="1" applyAlignment="1">
      <alignment horizontal="right"/>
    </xf>
    <xf numFmtId="3" fontId="5" fillId="0" borderId="48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Alignment="1">
      <alignment wrapText="1"/>
    </xf>
    <xf numFmtId="1" fontId="5" fillId="0" borderId="0" xfId="0" applyNumberFormat="1" applyFont="1" applyFill="1" applyAlignment="1">
      <alignment/>
    </xf>
    <xf numFmtId="0" fontId="4" fillId="0" borderId="10" xfId="51" applyFont="1" applyBorder="1" applyAlignment="1">
      <alignment horizontal="left" wrapText="1"/>
      <protection/>
    </xf>
    <xf numFmtId="0" fontId="4" fillId="0" borderId="10" xfId="0" applyFont="1" applyFill="1" applyBorder="1" applyAlignment="1">
      <alignment/>
    </xf>
    <xf numFmtId="0" fontId="30" fillId="0" borderId="10" xfId="57" applyFont="1" applyBorder="1" applyAlignment="1">
      <alignment horizontal="left" wrapText="1"/>
      <protection/>
    </xf>
    <xf numFmtId="0" fontId="24" fillId="0" borderId="12" xfId="51" applyFont="1" applyBorder="1" applyAlignment="1">
      <alignment horizontal="left" wrapText="1"/>
      <protection/>
    </xf>
    <xf numFmtId="49" fontId="4" fillId="0" borderId="10" xfId="57" applyNumberFormat="1" applyFont="1" applyBorder="1" applyAlignment="1">
      <alignment horizontal="right"/>
      <protection/>
    </xf>
    <xf numFmtId="0" fontId="4" fillId="0" borderId="23" xfId="54" applyFont="1" applyFill="1" applyBorder="1" applyAlignment="1">
      <alignment vertical="center" wrapText="1"/>
      <protection/>
    </xf>
    <xf numFmtId="3" fontId="1" fillId="0" borderId="20" xfId="0" applyNumberFormat="1" applyFont="1" applyFill="1" applyBorder="1" applyAlignment="1">
      <alignment/>
    </xf>
    <xf numFmtId="0" fontId="4" fillId="0" borderId="29" xfId="0" applyFont="1" applyFill="1" applyBorder="1" applyAlignment="1">
      <alignment horizontal="left" wrapText="1"/>
    </xf>
    <xf numFmtId="0" fontId="4" fillId="0" borderId="10" xfId="52" applyFont="1" applyFill="1" applyBorder="1" applyAlignment="1">
      <alignment horizontal="left" vertical="center" wrapText="1"/>
      <protection/>
    </xf>
    <xf numFmtId="0" fontId="4" fillId="0" borderId="10" xfId="52" applyFont="1" applyFill="1" applyBorder="1" applyAlignment="1">
      <alignment horizontal="left" wrapText="1"/>
      <protection/>
    </xf>
    <xf numFmtId="0" fontId="4" fillId="0" borderId="20" xfId="0" applyFont="1" applyFill="1" applyBorder="1" applyAlignment="1">
      <alignment horizontal="left" wrapText="1"/>
    </xf>
    <xf numFmtId="1" fontId="4" fillId="0" borderId="25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 vertical="center"/>
    </xf>
    <xf numFmtId="3" fontId="1" fillId="0" borderId="10" xfId="0" applyNumberFormat="1" applyFont="1" applyFill="1" applyBorder="1" applyAlignment="1">
      <alignment/>
    </xf>
    <xf numFmtId="3" fontId="32" fillId="0" borderId="10" xfId="0" applyNumberFormat="1" applyFont="1" applyFill="1" applyBorder="1" applyAlignment="1">
      <alignment/>
    </xf>
    <xf numFmtId="0" fontId="4" fillId="0" borderId="29" xfId="51" applyFont="1" applyFill="1" applyBorder="1" applyAlignment="1">
      <alignment horizontal="left" wrapText="1"/>
      <protection/>
    </xf>
    <xf numFmtId="0" fontId="31" fillId="0" borderId="10" xfId="57" applyFont="1" applyBorder="1" applyAlignment="1">
      <alignment horizontal="left" wrapText="1"/>
      <protection/>
    </xf>
    <xf numFmtId="3" fontId="4" fillId="0" borderId="18" xfId="0" applyNumberFormat="1" applyFont="1" applyFill="1" applyBorder="1" applyAlignment="1">
      <alignment/>
    </xf>
    <xf numFmtId="3" fontId="4" fillId="0" borderId="12" xfId="0" applyNumberFormat="1" applyFont="1" applyFill="1" applyBorder="1" applyAlignment="1">
      <alignment/>
    </xf>
    <xf numFmtId="3" fontId="5" fillId="0" borderId="53" xfId="0" applyNumberFormat="1" applyFont="1" applyFill="1" applyBorder="1" applyAlignment="1">
      <alignment/>
    </xf>
    <xf numFmtId="3" fontId="4" fillId="0" borderId="39" xfId="0" applyNumberFormat="1" applyFont="1" applyFill="1" applyBorder="1" applyAlignment="1">
      <alignment/>
    </xf>
    <xf numFmtId="3" fontId="5" fillId="0" borderId="26" xfId="0" applyNumberFormat="1" applyFont="1" applyBorder="1" applyAlignment="1">
      <alignment wrapText="1"/>
    </xf>
    <xf numFmtId="49" fontId="5" fillId="0" borderId="28" xfId="57" applyNumberFormat="1" applyFont="1" applyBorder="1" applyAlignment="1">
      <alignment horizontal="right"/>
      <protection/>
    </xf>
    <xf numFmtId="49" fontId="5" fillId="0" borderId="10" xfId="57" applyNumberFormat="1" applyFont="1" applyBorder="1" applyAlignment="1">
      <alignment horizontal="right"/>
      <protection/>
    </xf>
    <xf numFmtId="0" fontId="31" fillId="0" borderId="10" xfId="0" applyFont="1" applyBorder="1" applyAlignment="1">
      <alignment horizontal="left" wrapText="1"/>
    </xf>
    <xf numFmtId="3" fontId="4" fillId="0" borderId="51" xfId="0" applyNumberFormat="1" applyFont="1" applyFill="1" applyBorder="1" applyAlignment="1">
      <alignment/>
    </xf>
    <xf numFmtId="0" fontId="5" fillId="0" borderId="12" xfId="51" applyFont="1" applyBorder="1" applyAlignment="1">
      <alignment horizontal="left" wrapText="1"/>
      <protection/>
    </xf>
    <xf numFmtId="0" fontId="4" fillId="0" borderId="12" xfId="51" applyFont="1" applyFill="1" applyBorder="1" applyAlignment="1">
      <alignment wrapText="1"/>
      <protection/>
    </xf>
    <xf numFmtId="0" fontId="4" fillId="0" borderId="12" xfId="51" applyFont="1" applyFill="1" applyBorder="1" applyAlignment="1">
      <alignment horizontal="left" wrapText="1"/>
      <protection/>
    </xf>
    <xf numFmtId="3" fontId="5" fillId="0" borderId="13" xfId="57" applyNumberFormat="1" applyFont="1" applyBorder="1" applyAlignment="1">
      <alignment horizontal="right"/>
      <protection/>
    </xf>
    <xf numFmtId="3" fontId="5" fillId="0" borderId="10" xfId="57" applyNumberFormat="1" applyFont="1" applyBorder="1" applyAlignment="1">
      <alignment wrapText="1"/>
      <protection/>
    </xf>
    <xf numFmtId="0" fontId="0" fillId="0" borderId="10" xfId="0" applyFont="1" applyFill="1" applyBorder="1" applyAlignment="1">
      <alignment wrapText="1"/>
    </xf>
    <xf numFmtId="0" fontId="4" fillId="0" borderId="10" xfId="57" applyFont="1" applyFill="1" applyBorder="1" applyAlignment="1">
      <alignment wrapText="1"/>
      <protection/>
    </xf>
    <xf numFmtId="0" fontId="33" fillId="0" borderId="10" xfId="0" applyFont="1" applyFill="1" applyBorder="1" applyAlignment="1">
      <alignment horizontal="left" wrapText="1"/>
    </xf>
    <xf numFmtId="3" fontId="4" fillId="0" borderId="54" xfId="0" applyNumberFormat="1" applyFont="1" applyFill="1" applyBorder="1" applyAlignment="1">
      <alignment/>
    </xf>
    <xf numFmtId="3" fontId="5" fillId="0" borderId="55" xfId="0" applyNumberFormat="1" applyFont="1" applyFill="1" applyBorder="1" applyAlignment="1">
      <alignment/>
    </xf>
    <xf numFmtId="3" fontId="4" fillId="0" borderId="56" xfId="0" applyNumberFormat="1" applyFont="1" applyFill="1" applyBorder="1" applyAlignment="1">
      <alignment/>
    </xf>
    <xf numFmtId="3" fontId="4" fillId="0" borderId="57" xfId="0" applyNumberFormat="1" applyFont="1" applyFill="1" applyBorder="1" applyAlignment="1">
      <alignment/>
    </xf>
    <xf numFmtId="3" fontId="4" fillId="0" borderId="55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3" fontId="5" fillId="0" borderId="55" xfId="0" applyNumberFormat="1" applyFont="1" applyBorder="1" applyAlignment="1">
      <alignment/>
    </xf>
    <xf numFmtId="3" fontId="5" fillId="0" borderId="38" xfId="0" applyNumberFormat="1" applyFont="1" applyFill="1" applyBorder="1" applyAlignment="1">
      <alignment/>
    </xf>
    <xf numFmtId="3" fontId="4" fillId="0" borderId="53" xfId="0" applyNumberFormat="1" applyFont="1" applyFill="1" applyBorder="1" applyAlignment="1">
      <alignment/>
    </xf>
    <xf numFmtId="49" fontId="4" fillId="0" borderId="13" xfId="0" applyNumberFormat="1" applyFont="1" applyFill="1" applyBorder="1" applyAlignment="1">
      <alignment horizontal="right" wrapText="1"/>
    </xf>
    <xf numFmtId="3" fontId="4" fillId="0" borderId="15" xfId="57" applyNumberFormat="1" applyFont="1" applyBorder="1" applyAlignment="1">
      <alignment wrapText="1"/>
      <protection/>
    </xf>
    <xf numFmtId="3" fontId="4" fillId="0" borderId="10" xfId="57" applyNumberFormat="1" applyFont="1" applyBorder="1" applyAlignment="1">
      <alignment wrapText="1"/>
      <protection/>
    </xf>
    <xf numFmtId="3" fontId="5" fillId="0" borderId="40" xfId="0" applyNumberFormat="1" applyFont="1" applyFill="1" applyBorder="1" applyAlignment="1">
      <alignment/>
    </xf>
    <xf numFmtId="0" fontId="4" fillId="0" borderId="59" xfId="54" applyFont="1" applyFill="1" applyBorder="1" applyAlignment="1">
      <alignment vertical="center" wrapText="1"/>
      <protection/>
    </xf>
    <xf numFmtId="3" fontId="4" fillId="0" borderId="39" xfId="0" applyNumberFormat="1" applyFont="1" applyBorder="1" applyAlignment="1">
      <alignment/>
    </xf>
    <xf numFmtId="49" fontId="4" fillId="0" borderId="41" xfId="57" applyNumberFormat="1" applyFont="1" applyBorder="1" applyAlignment="1">
      <alignment horizontal="right"/>
      <protection/>
    </xf>
    <xf numFmtId="49" fontId="4" fillId="0" borderId="41" xfId="0" applyNumberFormat="1" applyFont="1" applyFill="1" applyBorder="1" applyAlignment="1">
      <alignment horizontal="right"/>
    </xf>
    <xf numFmtId="3" fontId="4" fillId="0" borderId="25" xfId="0" applyNumberFormat="1" applyFont="1" applyFill="1" applyBorder="1" applyAlignment="1">
      <alignment horizontal="right"/>
    </xf>
    <xf numFmtId="0" fontId="4" fillId="0" borderId="29" xfId="57" applyFont="1" applyFill="1" applyBorder="1" applyAlignment="1">
      <alignment horizontal="left" wrapText="1"/>
      <protection/>
    </xf>
    <xf numFmtId="49" fontId="4" fillId="0" borderId="13" xfId="57" applyNumberFormat="1" applyFont="1" applyFill="1" applyBorder="1" applyAlignment="1">
      <alignment horizontal="right"/>
      <protection/>
    </xf>
    <xf numFmtId="3" fontId="4" fillId="0" borderId="60" xfId="0" applyNumberFormat="1" applyFont="1" applyFill="1" applyBorder="1" applyAlignment="1">
      <alignment/>
    </xf>
    <xf numFmtId="3" fontId="32" fillId="0" borderId="15" xfId="0" applyNumberFormat="1" applyFont="1" applyFill="1" applyBorder="1" applyAlignment="1">
      <alignment/>
    </xf>
    <xf numFmtId="3" fontId="34" fillId="0" borderId="10" xfId="0" applyNumberFormat="1" applyFont="1" applyFill="1" applyBorder="1" applyAlignment="1">
      <alignment/>
    </xf>
    <xf numFmtId="2" fontId="4" fillId="0" borderId="0" xfId="0" applyNumberFormat="1" applyFont="1" applyFill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49" fontId="4" fillId="0" borderId="14" xfId="57" applyNumberFormat="1" applyFont="1" applyFill="1" applyBorder="1" applyAlignment="1">
      <alignment horizontal="right"/>
      <protection/>
    </xf>
    <xf numFmtId="49" fontId="4" fillId="0" borderId="35" xfId="57" applyNumberFormat="1" applyFont="1" applyFill="1" applyBorder="1" applyAlignment="1">
      <alignment horizontal="right"/>
      <protection/>
    </xf>
    <xf numFmtId="0" fontId="4" fillId="0" borderId="15" xfId="57" applyFont="1" applyBorder="1" applyAlignment="1">
      <alignment horizontal="left" wrapText="1"/>
      <protection/>
    </xf>
    <xf numFmtId="49" fontId="4" fillId="0" borderId="10" xfId="57" applyNumberFormat="1" applyFont="1" applyFill="1" applyBorder="1" applyAlignment="1">
      <alignment horizontal="right"/>
      <protection/>
    </xf>
    <xf numFmtId="3" fontId="4" fillId="0" borderId="26" xfId="0" applyNumberFormat="1" applyFont="1" applyFill="1" applyBorder="1" applyAlignment="1">
      <alignment wrapText="1"/>
    </xf>
    <xf numFmtId="49" fontId="4" fillId="0" borderId="61" xfId="57" applyNumberFormat="1" applyFont="1" applyFill="1" applyBorder="1" applyAlignment="1">
      <alignment horizontal="right"/>
      <protection/>
    </xf>
    <xf numFmtId="0" fontId="31" fillId="0" borderId="10" xfId="0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right"/>
    </xf>
    <xf numFmtId="49" fontId="4" fillId="0" borderId="25" xfId="57" applyNumberFormat="1" applyFont="1" applyFill="1" applyBorder="1" applyAlignment="1">
      <alignment horizontal="right"/>
      <protection/>
    </xf>
    <xf numFmtId="49" fontId="4" fillId="0" borderId="41" xfId="57" applyNumberFormat="1" applyFont="1" applyFill="1" applyBorder="1" applyAlignment="1">
      <alignment horizontal="right"/>
      <protection/>
    </xf>
    <xf numFmtId="49" fontId="5" fillId="0" borderId="37" xfId="0" applyNumberFormat="1" applyFont="1" applyFill="1" applyBorder="1" applyAlignment="1">
      <alignment horizontal="right"/>
    </xf>
    <xf numFmtId="49" fontId="5" fillId="0" borderId="13" xfId="57" applyNumberFormat="1" applyFont="1" applyFill="1" applyBorder="1" applyAlignment="1">
      <alignment horizontal="right"/>
      <protection/>
    </xf>
    <xf numFmtId="3" fontId="1" fillId="0" borderId="43" xfId="0" applyNumberFormat="1" applyFont="1" applyFill="1" applyBorder="1" applyAlignment="1">
      <alignment/>
    </xf>
    <xf numFmtId="49" fontId="5" fillId="0" borderId="13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/>
    </xf>
    <xf numFmtId="0" fontId="4" fillId="0" borderId="42" xfId="53" applyFont="1" applyFill="1" applyBorder="1" applyAlignment="1">
      <alignment horizontal="center" vertical="center" wrapText="1"/>
      <protection/>
    </xf>
    <xf numFmtId="3" fontId="4" fillId="0" borderId="62" xfId="0" applyNumberFormat="1" applyFont="1" applyFill="1" applyBorder="1" applyAlignment="1">
      <alignment/>
    </xf>
    <xf numFmtId="0" fontId="4" fillId="0" borderId="15" xfId="52" applyFont="1" applyFill="1" applyBorder="1" applyAlignment="1">
      <alignment horizontal="left" wrapText="1"/>
      <protection/>
    </xf>
    <xf numFmtId="3" fontId="4" fillId="0" borderId="19" xfId="0" applyNumberFormat="1" applyFont="1" applyFill="1" applyBorder="1" applyAlignment="1">
      <alignment/>
    </xf>
    <xf numFmtId="3" fontId="4" fillId="25" borderId="10" xfId="0" applyNumberFormat="1" applyFont="1" applyFill="1" applyBorder="1" applyAlignment="1">
      <alignment wrapText="1"/>
    </xf>
    <xf numFmtId="0" fontId="28" fillId="0" borderId="0" xfId="0" applyFont="1" applyFill="1" applyAlignment="1">
      <alignment horizontal="center"/>
    </xf>
    <xf numFmtId="3" fontId="28" fillId="0" borderId="63" xfId="0" applyNumberFormat="1" applyFont="1" applyFill="1" applyBorder="1" applyAlignment="1">
      <alignment horizontal="center" wrapText="1"/>
    </xf>
  </cellXfs>
  <cellStyles count="5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Hyperlink" xfId="41"/>
    <cellStyle name="Ievade" xfId="42"/>
    <cellStyle name="Followed Hyperlink" xfId="43"/>
    <cellStyle name="Izvade" xfId="44"/>
    <cellStyle name="Comma" xfId="45"/>
    <cellStyle name="Comma [0]" xfId="46"/>
    <cellStyle name="Kopsumma" xfId="47"/>
    <cellStyle name="Labs" xfId="48"/>
    <cellStyle name="Neitrāls" xfId="49"/>
    <cellStyle name="Normal_2009.g plāns apst 3" xfId="50"/>
    <cellStyle name="Normal_PROJEKTI_2016_PLĀNS_Aija un Inese" xfId="51"/>
    <cellStyle name="Normal_PROJEKTI_2016_PLĀNS_Aija un Inese 2" xfId="52"/>
    <cellStyle name="Normal_Sheet1" xfId="53"/>
    <cellStyle name="Normal_Sheet1_Pielikumi oktobra korekcijam 2" xfId="54"/>
    <cellStyle name="Normal_Specbudz.kopsavilkums 2006.g un korekc. 2" xfId="55"/>
    <cellStyle name="Nosaukums" xfId="56"/>
    <cellStyle name="Parasts 2" xfId="57"/>
    <cellStyle name="Parasts 2 2" xfId="58"/>
    <cellStyle name="Parasts 2_2016.g. Ieņēmumu un izdevumu plāns" xfId="59"/>
    <cellStyle name="Paskaidrojošs teksts" xfId="60"/>
    <cellStyle name="Pārbaudes šūna" xfId="61"/>
    <cellStyle name="Piezīme" xfId="62"/>
    <cellStyle name="Percent" xfId="63"/>
    <cellStyle name="Saistīta šūna" xfId="64"/>
    <cellStyle name="Slikts" xfId="65"/>
    <cellStyle name="Currency" xfId="66"/>
    <cellStyle name="Currency [0]" xfId="67"/>
    <cellStyle name="Virsraksts 1" xfId="68"/>
    <cellStyle name="Virsraksts 2" xfId="69"/>
    <cellStyle name="Virsraksts 3" xfId="70"/>
    <cellStyle name="Virsraksts 4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52"/>
  <sheetViews>
    <sheetView tabSelected="1" zoomScale="98" zoomScaleNormal="98" zoomScalePageLayoutView="0" workbookViewId="0" topLeftCell="A1">
      <pane xSplit="2" ySplit="7" topLeftCell="C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5" sqref="H5"/>
    </sheetView>
  </sheetViews>
  <sheetFormatPr defaultColWidth="9.140625" defaultRowHeight="12.75"/>
  <cols>
    <col min="1" max="1" width="13.28125" style="21" customWidth="1"/>
    <col min="2" max="2" width="41.00390625" style="193" customWidth="1"/>
    <col min="3" max="3" width="12.7109375" style="21" customWidth="1"/>
    <col min="4" max="4" width="13.8515625" style="195" customWidth="1"/>
    <col min="5" max="6" width="10.00390625" style="21" customWidth="1"/>
    <col min="7" max="7" width="9.8515625" style="21" customWidth="1"/>
    <col min="8" max="8" width="10.00390625" style="21" customWidth="1"/>
    <col min="9" max="9" width="9.00390625" style="21" customWidth="1"/>
    <col min="10" max="10" width="9.140625" style="21" customWidth="1"/>
    <col min="11" max="11" width="9.7109375" style="21" customWidth="1"/>
    <col min="12" max="12" width="8.8515625" style="21" customWidth="1"/>
    <col min="13" max="13" width="9.7109375" style="21" customWidth="1"/>
    <col min="14" max="14" width="8.7109375" style="21" customWidth="1"/>
    <col min="15" max="15" width="9.57421875" style="21" customWidth="1"/>
    <col min="16" max="16" width="9.7109375" style="21" customWidth="1"/>
    <col min="17" max="17" width="10.00390625" style="21" customWidth="1"/>
    <col min="18" max="18" width="10.140625" style="21" customWidth="1"/>
    <col min="19" max="19" width="10.28125" style="21" customWidth="1"/>
    <col min="20" max="20" width="13.00390625" style="197" customWidth="1"/>
    <col min="21" max="22" width="11.28125" style="197" customWidth="1"/>
    <col min="23" max="23" width="8.421875" style="21" customWidth="1"/>
    <col min="24" max="24" width="11.28125" style="21" customWidth="1"/>
    <col min="25" max="16384" width="9.140625" style="21" customWidth="1"/>
  </cols>
  <sheetData>
    <row r="1" spans="5:19" ht="15">
      <c r="E1" s="196" t="s">
        <v>669</v>
      </c>
      <c r="F1" s="196"/>
      <c r="G1" s="196"/>
      <c r="R1" s="20" t="s">
        <v>10</v>
      </c>
      <c r="S1" s="20"/>
    </row>
    <row r="2" spans="1:19" ht="15">
      <c r="A2" s="198"/>
      <c r="E2" s="198"/>
      <c r="F2" s="198"/>
      <c r="G2" s="198"/>
      <c r="R2" s="20" t="s">
        <v>386</v>
      </c>
      <c r="S2" s="20"/>
    </row>
    <row r="3" spans="1:19" ht="15">
      <c r="A3" s="198"/>
      <c r="E3" s="198"/>
      <c r="F3" s="198"/>
      <c r="G3" s="198"/>
      <c r="R3" s="20" t="s">
        <v>684</v>
      </c>
      <c r="S3" s="20"/>
    </row>
    <row r="5" spans="1:4" ht="20.25">
      <c r="A5" s="299" t="s">
        <v>474</v>
      </c>
      <c r="B5" s="299"/>
      <c r="C5" s="299"/>
      <c r="D5" s="299"/>
    </row>
    <row r="6" spans="1:17" ht="15.75" thickBot="1">
      <c r="A6" s="198"/>
      <c r="B6" s="199"/>
      <c r="C6" s="198"/>
      <c r="N6" s="200"/>
      <c r="O6" s="200"/>
      <c r="P6" s="200"/>
      <c r="Q6" s="200"/>
    </row>
    <row r="7" spans="1:24" ht="120" customHeight="1" thickBot="1">
      <c r="A7" s="37" t="s">
        <v>9</v>
      </c>
      <c r="B7" s="38" t="s">
        <v>128</v>
      </c>
      <c r="C7" s="40" t="s">
        <v>475</v>
      </c>
      <c r="D7" s="294" t="s">
        <v>476</v>
      </c>
      <c r="E7" s="39" t="s">
        <v>674</v>
      </c>
      <c r="F7" s="39" t="s">
        <v>675</v>
      </c>
      <c r="G7" s="39" t="s">
        <v>477</v>
      </c>
      <c r="H7" s="23" t="s">
        <v>478</v>
      </c>
      <c r="I7" s="23" t="s">
        <v>479</v>
      </c>
      <c r="J7" s="23" t="s">
        <v>480</v>
      </c>
      <c r="K7" s="23" t="s">
        <v>481</v>
      </c>
      <c r="L7" s="23" t="s">
        <v>482</v>
      </c>
      <c r="M7" s="23" t="s">
        <v>483</v>
      </c>
      <c r="N7" s="23" t="s">
        <v>484</v>
      </c>
      <c r="O7" s="223" t="s">
        <v>485</v>
      </c>
      <c r="P7" s="223" t="s">
        <v>657</v>
      </c>
      <c r="Q7" s="223" t="s">
        <v>658</v>
      </c>
      <c r="R7" s="23" t="s">
        <v>611</v>
      </c>
      <c r="S7" s="266" t="s">
        <v>636</v>
      </c>
      <c r="T7" s="41" t="s">
        <v>486</v>
      </c>
      <c r="U7" s="7"/>
      <c r="V7" s="7"/>
      <c r="W7" s="7"/>
      <c r="X7" s="7"/>
    </row>
    <row r="8" spans="1:24" ht="15.75" thickBot="1">
      <c r="A8" s="42"/>
      <c r="B8" s="43" t="s">
        <v>21</v>
      </c>
      <c r="C8" s="44">
        <f>C9+C12+C17+C18</f>
        <v>33461505</v>
      </c>
      <c r="D8" s="44">
        <f aca="true" t="shared" si="0" ref="D8:N8">D9+D12+D18</f>
        <v>0</v>
      </c>
      <c r="E8" s="44">
        <f t="shared" si="0"/>
        <v>0</v>
      </c>
      <c r="F8" s="44">
        <f>F9+F12+F18</f>
        <v>0</v>
      </c>
      <c r="G8" s="45">
        <f t="shared" si="0"/>
        <v>0</v>
      </c>
      <c r="H8" s="44">
        <f>H9+H12+H18</f>
        <v>123850</v>
      </c>
      <c r="I8" s="44">
        <f t="shared" si="0"/>
        <v>50140</v>
      </c>
      <c r="J8" s="44">
        <f t="shared" si="0"/>
        <v>45000</v>
      </c>
      <c r="K8" s="44">
        <f t="shared" si="0"/>
        <v>107508</v>
      </c>
      <c r="L8" s="44">
        <f t="shared" si="0"/>
        <v>57000</v>
      </c>
      <c r="M8" s="44">
        <f t="shared" si="0"/>
        <v>50614</v>
      </c>
      <c r="N8" s="44">
        <f t="shared" si="0"/>
        <v>50480</v>
      </c>
      <c r="O8" s="44">
        <f>O9+O12+O18</f>
        <v>74000</v>
      </c>
      <c r="P8" s="44">
        <f>P9+P12+P18</f>
        <v>2124492</v>
      </c>
      <c r="Q8" s="44">
        <f>Q9+Q12+Q17+Q18</f>
        <v>3262074</v>
      </c>
      <c r="R8" s="45">
        <f>R9+R12+R18</f>
        <v>5178451</v>
      </c>
      <c r="S8" s="45">
        <f>S9+S12+S18</f>
        <v>0</v>
      </c>
      <c r="T8" s="46">
        <f aca="true" t="shared" si="1" ref="T8:T33">SUM(C8:S8)</f>
        <v>44585114</v>
      </c>
      <c r="U8" s="185"/>
      <c r="V8" s="185"/>
      <c r="W8" s="201"/>
      <c r="X8" s="201"/>
    </row>
    <row r="9" spans="1:24" ht="15">
      <c r="A9" s="47" t="s">
        <v>22</v>
      </c>
      <c r="B9" s="48" t="s">
        <v>129</v>
      </c>
      <c r="C9" s="49">
        <f aca="true" t="shared" si="2" ref="C9:S9">SUM(C10:C11)</f>
        <v>32037722</v>
      </c>
      <c r="D9" s="49">
        <f t="shared" si="2"/>
        <v>0</v>
      </c>
      <c r="E9" s="49">
        <f t="shared" si="2"/>
        <v>0</v>
      </c>
      <c r="F9" s="49">
        <f>SUM(F10:F11)</f>
        <v>0</v>
      </c>
      <c r="G9" s="25">
        <f t="shared" si="2"/>
        <v>0</v>
      </c>
      <c r="H9" s="49">
        <f t="shared" si="2"/>
        <v>0</v>
      </c>
      <c r="I9" s="49">
        <f t="shared" si="2"/>
        <v>0</v>
      </c>
      <c r="J9" s="49">
        <f t="shared" si="2"/>
        <v>0</v>
      </c>
      <c r="K9" s="49">
        <f t="shared" si="2"/>
        <v>0</v>
      </c>
      <c r="L9" s="49">
        <f t="shared" si="2"/>
        <v>0</v>
      </c>
      <c r="M9" s="49">
        <f t="shared" si="2"/>
        <v>0</v>
      </c>
      <c r="N9" s="49">
        <f t="shared" si="2"/>
        <v>0</v>
      </c>
      <c r="O9" s="49">
        <f>SUM(O10:O11)</f>
        <v>0</v>
      </c>
      <c r="P9" s="49">
        <f>SUM(P10:P11)</f>
        <v>1665360</v>
      </c>
      <c r="Q9" s="49">
        <f>SUM(Q10:Q11)</f>
        <v>2711453</v>
      </c>
      <c r="R9" s="25">
        <f t="shared" si="2"/>
        <v>4516810</v>
      </c>
      <c r="S9" s="25">
        <f t="shared" si="2"/>
        <v>0</v>
      </c>
      <c r="T9" s="50">
        <f t="shared" si="1"/>
        <v>40931345</v>
      </c>
      <c r="U9" s="185"/>
      <c r="V9" s="185"/>
      <c r="W9" s="195"/>
      <c r="X9" s="201"/>
    </row>
    <row r="10" spans="1:24" ht="45">
      <c r="A10" s="51" t="s">
        <v>23</v>
      </c>
      <c r="B10" s="24" t="s">
        <v>130</v>
      </c>
      <c r="C10" s="17"/>
      <c r="D10" s="17"/>
      <c r="E10" s="17"/>
      <c r="F10" s="17"/>
      <c r="G10" s="52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52">
        <v>193837</v>
      </c>
      <c r="S10" s="257"/>
      <c r="T10" s="50">
        <f t="shared" si="1"/>
        <v>193837</v>
      </c>
      <c r="U10" s="185"/>
      <c r="V10" s="185"/>
      <c r="W10" s="195"/>
      <c r="X10" s="201"/>
    </row>
    <row r="11" spans="1:24" ht="30">
      <c r="A11" s="51" t="s">
        <v>24</v>
      </c>
      <c r="B11" s="24" t="s">
        <v>131</v>
      </c>
      <c r="C11" s="17">
        <f>21447122+10590600</f>
        <v>32037722</v>
      </c>
      <c r="D11" s="17"/>
      <c r="E11" s="17"/>
      <c r="F11" s="17"/>
      <c r="G11" s="52"/>
      <c r="H11" s="17"/>
      <c r="I11" s="17"/>
      <c r="J11" s="17"/>
      <c r="K11" s="17"/>
      <c r="L11" s="17"/>
      <c r="M11" s="17"/>
      <c r="N11" s="17"/>
      <c r="O11" s="17"/>
      <c r="P11" s="17">
        <f>1578865+86495</f>
        <v>1665360</v>
      </c>
      <c r="Q11" s="17">
        <v>2711453</v>
      </c>
      <c r="R11" s="52">
        <v>4322973</v>
      </c>
      <c r="S11" s="257"/>
      <c r="T11" s="50">
        <f t="shared" si="1"/>
        <v>40737508</v>
      </c>
      <c r="U11" s="185"/>
      <c r="V11" s="185"/>
      <c r="W11" s="195"/>
      <c r="X11" s="201"/>
    </row>
    <row r="12" spans="1:24" ht="15">
      <c r="A12" s="53" t="s">
        <v>132</v>
      </c>
      <c r="B12" s="24" t="s">
        <v>133</v>
      </c>
      <c r="C12" s="17">
        <f>C13</f>
        <v>1340783</v>
      </c>
      <c r="D12" s="17"/>
      <c r="E12" s="17"/>
      <c r="F12" s="17"/>
      <c r="G12" s="52"/>
      <c r="H12" s="17">
        <f>H13</f>
        <v>123850</v>
      </c>
      <c r="I12" s="54">
        <f aca="true" t="shared" si="3" ref="I12:S12">I13</f>
        <v>50140</v>
      </c>
      <c r="J12" s="54">
        <f t="shared" si="3"/>
        <v>45000</v>
      </c>
      <c r="K12" s="54">
        <f t="shared" si="3"/>
        <v>107508</v>
      </c>
      <c r="L12" s="54">
        <f t="shared" si="3"/>
        <v>57000</v>
      </c>
      <c r="M12" s="54">
        <f t="shared" si="3"/>
        <v>50614</v>
      </c>
      <c r="N12" s="54">
        <f t="shared" si="3"/>
        <v>50480</v>
      </c>
      <c r="O12" s="54">
        <f t="shared" si="3"/>
        <v>74000</v>
      </c>
      <c r="P12" s="54">
        <f t="shared" si="3"/>
        <v>447132</v>
      </c>
      <c r="Q12" s="54">
        <f t="shared" si="3"/>
        <v>523971</v>
      </c>
      <c r="R12" s="56">
        <f t="shared" si="3"/>
        <v>648641</v>
      </c>
      <c r="S12" s="94">
        <f t="shared" si="3"/>
        <v>0</v>
      </c>
      <c r="T12" s="50">
        <f t="shared" si="1"/>
        <v>3519119</v>
      </c>
      <c r="U12" s="185"/>
      <c r="V12" s="185"/>
      <c r="W12" s="195"/>
      <c r="X12" s="201"/>
    </row>
    <row r="13" spans="1:24" ht="15">
      <c r="A13" s="53" t="s">
        <v>25</v>
      </c>
      <c r="B13" s="24" t="s">
        <v>26</v>
      </c>
      <c r="C13" s="17">
        <f>SUM(C14:C16)</f>
        <v>1340783</v>
      </c>
      <c r="D13" s="17"/>
      <c r="E13" s="17"/>
      <c r="F13" s="17"/>
      <c r="G13" s="52"/>
      <c r="H13" s="17">
        <f>SUM(H14:H16)</f>
        <v>123850</v>
      </c>
      <c r="I13" s="17">
        <f aca="true" t="shared" si="4" ref="I13:S13">SUM(I14:I16)</f>
        <v>50140</v>
      </c>
      <c r="J13" s="17">
        <f t="shared" si="4"/>
        <v>45000</v>
      </c>
      <c r="K13" s="17">
        <f t="shared" si="4"/>
        <v>107508</v>
      </c>
      <c r="L13" s="17">
        <f t="shared" si="4"/>
        <v>57000</v>
      </c>
      <c r="M13" s="17">
        <f t="shared" si="4"/>
        <v>50614</v>
      </c>
      <c r="N13" s="17">
        <f t="shared" si="4"/>
        <v>50480</v>
      </c>
      <c r="O13" s="17">
        <f>SUM(O14:O16)</f>
        <v>74000</v>
      </c>
      <c r="P13" s="17">
        <f>SUM(P14:P16)</f>
        <v>447132</v>
      </c>
      <c r="Q13" s="17">
        <f>SUM(Q14:Q16)</f>
        <v>523971</v>
      </c>
      <c r="R13" s="56">
        <f t="shared" si="4"/>
        <v>648641</v>
      </c>
      <c r="S13" s="94">
        <f t="shared" si="4"/>
        <v>0</v>
      </c>
      <c r="T13" s="50">
        <f t="shared" si="1"/>
        <v>3519119</v>
      </c>
      <c r="U13" s="185"/>
      <c r="V13" s="185"/>
      <c r="W13" s="195"/>
      <c r="X13" s="201"/>
    </row>
    <row r="14" spans="1:24" ht="15">
      <c r="A14" s="51" t="s">
        <v>11</v>
      </c>
      <c r="B14" s="24" t="s">
        <v>27</v>
      </c>
      <c r="C14" s="55">
        <v>593098</v>
      </c>
      <c r="D14" s="54"/>
      <c r="E14" s="54"/>
      <c r="F14" s="54"/>
      <c r="G14" s="17"/>
      <c r="H14" s="229">
        <f>93500+10500</f>
        <v>104000</v>
      </c>
      <c r="I14" s="54">
        <v>45230</v>
      </c>
      <c r="J14" s="54">
        <v>40000</v>
      </c>
      <c r="K14" s="54">
        <v>96633</v>
      </c>
      <c r="L14" s="17">
        <v>49000</v>
      </c>
      <c r="M14" s="54">
        <f>44800+1514</f>
        <v>46314</v>
      </c>
      <c r="N14" s="230">
        <v>47180</v>
      </c>
      <c r="O14" s="56">
        <v>70500</v>
      </c>
      <c r="P14" s="230">
        <v>352021</v>
      </c>
      <c r="Q14" s="230">
        <v>381516</v>
      </c>
      <c r="R14" s="56">
        <v>443087</v>
      </c>
      <c r="S14" s="257"/>
      <c r="T14" s="50">
        <f t="shared" si="1"/>
        <v>2268579</v>
      </c>
      <c r="U14" s="185"/>
      <c r="V14" s="185"/>
      <c r="W14" s="195"/>
      <c r="X14" s="201"/>
    </row>
    <row r="15" spans="1:24" ht="15">
      <c r="A15" s="51" t="s">
        <v>12</v>
      </c>
      <c r="B15" s="24" t="s">
        <v>28</v>
      </c>
      <c r="C15" s="54">
        <v>463238</v>
      </c>
      <c r="D15" s="54"/>
      <c r="E15" s="54"/>
      <c r="F15" s="54"/>
      <c r="G15" s="17"/>
      <c r="H15" s="229">
        <f>4950+3100</f>
        <v>8050</v>
      </c>
      <c r="I15" s="54">
        <v>2950</v>
      </c>
      <c r="J15" s="54">
        <v>2200</v>
      </c>
      <c r="K15" s="54">
        <v>4386</v>
      </c>
      <c r="L15" s="17">
        <v>8000</v>
      </c>
      <c r="M15" s="54">
        <f>1400+100</f>
        <v>1500</v>
      </c>
      <c r="N15" s="229">
        <v>800</v>
      </c>
      <c r="O15" s="56">
        <v>500</v>
      </c>
      <c r="P15" s="230">
        <v>52661</v>
      </c>
      <c r="Q15" s="230">
        <v>76951</v>
      </c>
      <c r="R15" s="56">
        <v>73258</v>
      </c>
      <c r="S15" s="257"/>
      <c r="T15" s="50">
        <f t="shared" si="1"/>
        <v>694494</v>
      </c>
      <c r="U15" s="185"/>
      <c r="V15" s="185"/>
      <c r="W15" s="195"/>
      <c r="X15" s="201"/>
    </row>
    <row r="16" spans="1:24" ht="15">
      <c r="A16" s="51" t="s">
        <v>172</v>
      </c>
      <c r="B16" s="24" t="s">
        <v>173</v>
      </c>
      <c r="C16" s="55">
        <v>284447</v>
      </c>
      <c r="D16" s="54" t="s">
        <v>308</v>
      </c>
      <c r="E16" s="54"/>
      <c r="F16" s="54"/>
      <c r="G16" s="17"/>
      <c r="H16" s="229">
        <f>11400+400</f>
        <v>11800</v>
      </c>
      <c r="I16" s="54">
        <v>1960</v>
      </c>
      <c r="J16" s="17">
        <v>2800</v>
      </c>
      <c r="K16" s="54">
        <v>6489</v>
      </c>
      <c r="L16" s="54"/>
      <c r="M16" s="54">
        <v>2800</v>
      </c>
      <c r="N16" s="229">
        <v>2500</v>
      </c>
      <c r="O16" s="56">
        <v>3000</v>
      </c>
      <c r="P16" s="230">
        <v>42450</v>
      </c>
      <c r="Q16" s="230">
        <v>65504</v>
      </c>
      <c r="R16" s="56">
        <v>132296</v>
      </c>
      <c r="S16" s="257"/>
      <c r="T16" s="50">
        <f t="shared" si="1"/>
        <v>556046</v>
      </c>
      <c r="U16" s="185"/>
      <c r="V16" s="185"/>
      <c r="W16" s="195"/>
      <c r="X16" s="201"/>
    </row>
    <row r="17" spans="1:24" ht="15">
      <c r="A17" s="59" t="s">
        <v>13</v>
      </c>
      <c r="B17" s="60" t="s">
        <v>29</v>
      </c>
      <c r="C17" s="62">
        <v>15000</v>
      </c>
      <c r="D17" s="61"/>
      <c r="E17" s="61"/>
      <c r="F17" s="61"/>
      <c r="G17" s="63"/>
      <c r="H17" s="64"/>
      <c r="I17" s="61"/>
      <c r="J17" s="65"/>
      <c r="K17" s="61"/>
      <c r="L17" s="61"/>
      <c r="M17" s="61"/>
      <c r="N17" s="65"/>
      <c r="O17" s="63"/>
      <c r="P17" s="17"/>
      <c r="Q17" s="17">
        <v>10000</v>
      </c>
      <c r="R17" s="63"/>
      <c r="S17" s="94"/>
      <c r="T17" s="50">
        <f t="shared" si="1"/>
        <v>25000</v>
      </c>
      <c r="U17" s="185"/>
      <c r="V17" s="185"/>
      <c r="W17" s="195"/>
      <c r="X17" s="201"/>
    </row>
    <row r="18" spans="1:24" ht="15.75" thickBot="1">
      <c r="A18" s="66" t="s">
        <v>387</v>
      </c>
      <c r="B18" s="67" t="s">
        <v>252</v>
      </c>
      <c r="C18" s="68">
        <v>68000</v>
      </c>
      <c r="D18" s="65"/>
      <c r="E18" s="65"/>
      <c r="F18" s="65"/>
      <c r="G18" s="69"/>
      <c r="H18" s="65"/>
      <c r="I18" s="65"/>
      <c r="J18" s="65"/>
      <c r="K18" s="65"/>
      <c r="L18" s="65"/>
      <c r="M18" s="65"/>
      <c r="N18" s="65"/>
      <c r="O18" s="69"/>
      <c r="P18" s="84">
        <v>12000</v>
      </c>
      <c r="Q18" s="69">
        <v>16650</v>
      </c>
      <c r="R18" s="69">
        <v>13000</v>
      </c>
      <c r="S18" s="258"/>
      <c r="T18" s="70">
        <f t="shared" si="1"/>
        <v>109650</v>
      </c>
      <c r="U18" s="185"/>
      <c r="V18" s="185"/>
      <c r="W18" s="195"/>
      <c r="X18" s="201"/>
    </row>
    <row r="19" spans="1:24" ht="15.75" thickBot="1">
      <c r="A19" s="42"/>
      <c r="B19" s="43" t="s">
        <v>30</v>
      </c>
      <c r="C19" s="44">
        <f aca="true" t="shared" si="5" ref="C19:S19">SUM(C20:C27)</f>
        <v>146549</v>
      </c>
      <c r="D19" s="44">
        <f t="shared" si="5"/>
        <v>200</v>
      </c>
      <c r="E19" s="44">
        <f t="shared" si="5"/>
        <v>0</v>
      </c>
      <c r="F19" s="44">
        <f t="shared" si="5"/>
        <v>0</v>
      </c>
      <c r="G19" s="44">
        <f t="shared" si="5"/>
        <v>0</v>
      </c>
      <c r="H19" s="44">
        <f t="shared" si="5"/>
        <v>11970</v>
      </c>
      <c r="I19" s="44">
        <f t="shared" si="5"/>
        <v>320</v>
      </c>
      <c r="J19" s="44">
        <f t="shared" si="5"/>
        <v>269</v>
      </c>
      <c r="K19" s="44">
        <f t="shared" si="5"/>
        <v>172521</v>
      </c>
      <c r="L19" s="44">
        <f t="shared" si="5"/>
        <v>0</v>
      </c>
      <c r="M19" s="44">
        <f t="shared" si="5"/>
        <v>50</v>
      </c>
      <c r="N19" s="44">
        <f t="shared" si="5"/>
        <v>100</v>
      </c>
      <c r="O19" s="44">
        <f t="shared" si="5"/>
        <v>170</v>
      </c>
      <c r="P19" s="44">
        <f t="shared" si="5"/>
        <v>557718</v>
      </c>
      <c r="Q19" s="44">
        <f t="shared" si="5"/>
        <v>628500</v>
      </c>
      <c r="R19" s="45">
        <f t="shared" si="5"/>
        <v>50756</v>
      </c>
      <c r="S19" s="45">
        <f t="shared" si="5"/>
        <v>0</v>
      </c>
      <c r="T19" s="46">
        <f t="shared" si="1"/>
        <v>1569123</v>
      </c>
      <c r="U19" s="185"/>
      <c r="V19" s="185"/>
      <c r="W19" s="201"/>
      <c r="X19" s="201"/>
    </row>
    <row r="20" spans="1:24" ht="15">
      <c r="A20" s="71" t="s">
        <v>325</v>
      </c>
      <c r="B20" s="72" t="s">
        <v>326</v>
      </c>
      <c r="C20" s="73">
        <v>60000</v>
      </c>
      <c r="D20" s="32"/>
      <c r="E20" s="32"/>
      <c r="F20" s="32"/>
      <c r="G20" s="31"/>
      <c r="H20" s="32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259"/>
      <c r="T20" s="74">
        <f t="shared" si="1"/>
        <v>60000</v>
      </c>
      <c r="U20" s="277"/>
      <c r="V20" s="185"/>
      <c r="W20" s="195"/>
      <c r="X20" s="201"/>
    </row>
    <row r="21" spans="1:24" ht="15">
      <c r="A21" s="47" t="s">
        <v>388</v>
      </c>
      <c r="B21" s="48" t="s">
        <v>389</v>
      </c>
      <c r="C21" s="49"/>
      <c r="D21" s="49"/>
      <c r="E21" s="49"/>
      <c r="F21" s="49"/>
      <c r="G21" s="25"/>
      <c r="H21" s="49"/>
      <c r="I21" s="49"/>
      <c r="J21" s="49"/>
      <c r="K21" s="49"/>
      <c r="L21" s="49"/>
      <c r="M21" s="75"/>
      <c r="N21" s="49"/>
      <c r="O21" s="76"/>
      <c r="P21" s="17"/>
      <c r="Q21" s="17"/>
      <c r="R21" s="76">
        <v>1518</v>
      </c>
      <c r="S21" s="257"/>
      <c r="T21" s="50">
        <f t="shared" si="1"/>
        <v>1518</v>
      </c>
      <c r="U21" s="185"/>
      <c r="V21" s="185"/>
      <c r="W21" s="195"/>
      <c r="X21" s="201"/>
    </row>
    <row r="22" spans="1:24" ht="33" customHeight="1">
      <c r="A22" s="47" t="s">
        <v>537</v>
      </c>
      <c r="B22" s="48" t="s">
        <v>538</v>
      </c>
      <c r="C22" s="49"/>
      <c r="D22" s="49"/>
      <c r="E22" s="49"/>
      <c r="F22" s="49"/>
      <c r="G22" s="25"/>
      <c r="H22" s="49"/>
      <c r="I22" s="49"/>
      <c r="J22" s="49"/>
      <c r="K22" s="49"/>
      <c r="L22" s="49"/>
      <c r="M22" s="75"/>
      <c r="N22" s="49"/>
      <c r="O22" s="76"/>
      <c r="P22" s="17">
        <v>30</v>
      </c>
      <c r="Q22" s="17">
        <v>50</v>
      </c>
      <c r="R22" s="76"/>
      <c r="S22" s="257"/>
      <c r="T22" s="50">
        <f t="shared" si="1"/>
        <v>80</v>
      </c>
      <c r="U22" s="185"/>
      <c r="V22" s="185"/>
      <c r="W22" s="195"/>
      <c r="X22" s="201"/>
    </row>
    <row r="23" spans="1:24" ht="30">
      <c r="A23" s="53" t="s">
        <v>31</v>
      </c>
      <c r="B23" s="24" t="s">
        <v>32</v>
      </c>
      <c r="C23" s="17">
        <v>7180</v>
      </c>
      <c r="D23" s="17">
        <v>200</v>
      </c>
      <c r="E23" s="17"/>
      <c r="F23" s="17"/>
      <c r="G23" s="52"/>
      <c r="H23" s="17"/>
      <c r="I23" s="17">
        <v>200</v>
      </c>
      <c r="J23" s="17">
        <v>50</v>
      </c>
      <c r="K23" s="17">
        <v>2200</v>
      </c>
      <c r="L23" s="17"/>
      <c r="M23" s="54">
        <v>25</v>
      </c>
      <c r="N23" s="17"/>
      <c r="O23" s="56">
        <v>100</v>
      </c>
      <c r="P23" s="17">
        <v>2905</v>
      </c>
      <c r="Q23" s="17">
        <v>4370</v>
      </c>
      <c r="R23" s="56">
        <v>3463</v>
      </c>
      <c r="S23" s="257"/>
      <c r="T23" s="50">
        <f t="shared" si="1"/>
        <v>20693</v>
      </c>
      <c r="U23" s="185"/>
      <c r="V23" s="185"/>
      <c r="W23" s="195"/>
      <c r="X23" s="201"/>
    </row>
    <row r="24" spans="1:24" ht="15">
      <c r="A24" s="53" t="s">
        <v>15</v>
      </c>
      <c r="B24" s="24" t="s">
        <v>14</v>
      </c>
      <c r="C24" s="17">
        <v>20950</v>
      </c>
      <c r="D24" s="17"/>
      <c r="E24" s="17"/>
      <c r="F24" s="17"/>
      <c r="G24" s="52"/>
      <c r="H24" s="17">
        <v>1300</v>
      </c>
      <c r="I24" s="17">
        <v>120</v>
      </c>
      <c r="J24" s="17">
        <v>50</v>
      </c>
      <c r="K24" s="17">
        <v>850</v>
      </c>
      <c r="L24" s="17"/>
      <c r="M24" s="54">
        <v>25</v>
      </c>
      <c r="N24" s="17">
        <v>100</v>
      </c>
      <c r="O24" s="56">
        <v>70</v>
      </c>
      <c r="P24" s="17">
        <v>2000</v>
      </c>
      <c r="Q24" s="17">
        <v>4690</v>
      </c>
      <c r="R24" s="56">
        <v>12650</v>
      </c>
      <c r="S24" s="257"/>
      <c r="T24" s="50">
        <f t="shared" si="1"/>
        <v>42805</v>
      </c>
      <c r="U24" s="185"/>
      <c r="V24" s="185"/>
      <c r="W24" s="195"/>
      <c r="X24" s="201"/>
    </row>
    <row r="25" spans="1:24" ht="15">
      <c r="A25" s="53" t="s">
        <v>134</v>
      </c>
      <c r="B25" s="24" t="s">
        <v>135</v>
      </c>
      <c r="C25" s="17">
        <v>31100</v>
      </c>
      <c r="D25" s="17"/>
      <c r="E25" s="17"/>
      <c r="F25" s="17"/>
      <c r="G25" s="52"/>
      <c r="H25" s="17"/>
      <c r="I25" s="17"/>
      <c r="J25" s="17"/>
      <c r="K25" s="17"/>
      <c r="L25" s="17"/>
      <c r="M25" s="17"/>
      <c r="N25" s="17"/>
      <c r="O25" s="52"/>
      <c r="P25" s="52">
        <v>6550</v>
      </c>
      <c r="Q25" s="52">
        <v>2990</v>
      </c>
      <c r="R25" s="52">
        <v>13825</v>
      </c>
      <c r="S25" s="257"/>
      <c r="T25" s="50">
        <f t="shared" si="1"/>
        <v>54465</v>
      </c>
      <c r="U25" s="185"/>
      <c r="V25" s="185"/>
      <c r="W25" s="195"/>
      <c r="X25" s="201"/>
    </row>
    <row r="26" spans="1:24" ht="15">
      <c r="A26" s="53" t="s">
        <v>390</v>
      </c>
      <c r="B26" s="24" t="s">
        <v>33</v>
      </c>
      <c r="C26" s="17">
        <f>9150+100+4569</f>
        <v>13819</v>
      </c>
      <c r="D26" s="17"/>
      <c r="E26" s="17"/>
      <c r="F26" s="17"/>
      <c r="G26" s="52"/>
      <c r="H26" s="17"/>
      <c r="I26" s="17"/>
      <c r="J26" s="17">
        <v>169</v>
      </c>
      <c r="K26" s="17"/>
      <c r="L26" s="17"/>
      <c r="M26" s="17"/>
      <c r="N26" s="17"/>
      <c r="O26" s="52"/>
      <c r="P26" s="52">
        <v>130</v>
      </c>
      <c r="Q26" s="52">
        <v>200</v>
      </c>
      <c r="R26" s="52">
        <v>1300</v>
      </c>
      <c r="S26" s="257"/>
      <c r="T26" s="50">
        <f t="shared" si="1"/>
        <v>15618</v>
      </c>
      <c r="U26" s="185"/>
      <c r="V26" s="185"/>
      <c r="W26" s="195"/>
      <c r="X26" s="201"/>
    </row>
    <row r="27" spans="1:24" ht="27.75" customHeight="1">
      <c r="A27" s="53" t="s">
        <v>123</v>
      </c>
      <c r="B27" s="24" t="s">
        <v>256</v>
      </c>
      <c r="C27" s="6">
        <v>13500</v>
      </c>
      <c r="D27" s="17"/>
      <c r="E27" s="17"/>
      <c r="F27" s="17"/>
      <c r="G27" s="17"/>
      <c r="H27" s="17">
        <f>3670+7000</f>
        <v>10670</v>
      </c>
      <c r="I27" s="56"/>
      <c r="J27" s="52"/>
      <c r="K27" s="17">
        <f>125471+44000</f>
        <v>169471</v>
      </c>
      <c r="L27" s="52"/>
      <c r="M27" s="17"/>
      <c r="N27" s="52"/>
      <c r="O27" s="52"/>
      <c r="P27" s="52">
        <v>546103</v>
      </c>
      <c r="Q27" s="52">
        <v>616200</v>
      </c>
      <c r="R27" s="52">
        <v>18000</v>
      </c>
      <c r="S27" s="257"/>
      <c r="T27" s="50">
        <f t="shared" si="1"/>
        <v>1373944</v>
      </c>
      <c r="U27" s="185"/>
      <c r="V27" s="185"/>
      <c r="W27" s="195"/>
      <c r="X27" s="201"/>
    </row>
    <row r="28" spans="1:24" ht="58.5" thickBot="1">
      <c r="A28" s="77" t="s">
        <v>260</v>
      </c>
      <c r="B28" s="78" t="s">
        <v>259</v>
      </c>
      <c r="C28" s="79">
        <f>42816+50500+20189</f>
        <v>113505</v>
      </c>
      <c r="D28" s="79"/>
      <c r="E28" s="79"/>
      <c r="F28" s="79"/>
      <c r="G28" s="80"/>
      <c r="H28" s="79"/>
      <c r="I28" s="80"/>
      <c r="J28" s="80"/>
      <c r="K28" s="79"/>
      <c r="L28" s="80"/>
      <c r="M28" s="79"/>
      <c r="N28" s="80"/>
      <c r="O28" s="80"/>
      <c r="P28" s="80">
        <v>1783</v>
      </c>
      <c r="Q28" s="80">
        <v>20000</v>
      </c>
      <c r="R28" s="80">
        <v>24826</v>
      </c>
      <c r="S28" s="258"/>
      <c r="T28" s="50">
        <f t="shared" si="1"/>
        <v>160114</v>
      </c>
      <c r="U28" s="185"/>
      <c r="V28" s="185"/>
      <c r="W28" s="195"/>
      <c r="X28" s="201"/>
    </row>
    <row r="29" spans="1:24" ht="15.75" thickBot="1">
      <c r="A29" s="81" t="s">
        <v>34</v>
      </c>
      <c r="B29" s="43" t="s">
        <v>35</v>
      </c>
      <c r="C29" s="44">
        <f aca="true" t="shared" si="6" ref="C29:S29">SUM(C30:C30)</f>
        <v>28369865</v>
      </c>
      <c r="D29" s="44">
        <f t="shared" si="6"/>
        <v>0</v>
      </c>
      <c r="E29" s="44">
        <f t="shared" si="6"/>
        <v>6229</v>
      </c>
      <c r="F29" s="44">
        <f t="shared" si="6"/>
        <v>0</v>
      </c>
      <c r="G29" s="45">
        <f t="shared" si="6"/>
        <v>0</v>
      </c>
      <c r="H29" s="44">
        <f t="shared" si="6"/>
        <v>0</v>
      </c>
      <c r="I29" s="44">
        <f t="shared" si="6"/>
        <v>0</v>
      </c>
      <c r="J29" s="44">
        <f t="shared" si="6"/>
        <v>0</v>
      </c>
      <c r="K29" s="44">
        <f t="shared" si="6"/>
        <v>139660</v>
      </c>
      <c r="L29" s="44">
        <f t="shared" si="6"/>
        <v>0</v>
      </c>
      <c r="M29" s="44">
        <f t="shared" si="6"/>
        <v>9998</v>
      </c>
      <c r="N29" s="44">
        <f t="shared" si="6"/>
        <v>200</v>
      </c>
      <c r="O29" s="44">
        <f t="shared" si="6"/>
        <v>0</v>
      </c>
      <c r="P29" s="44">
        <f t="shared" si="6"/>
        <v>1825010</v>
      </c>
      <c r="Q29" s="44">
        <f t="shared" si="6"/>
        <v>3988827</v>
      </c>
      <c r="R29" s="45">
        <f t="shared" si="6"/>
        <v>1904859</v>
      </c>
      <c r="S29" s="45">
        <f t="shared" si="6"/>
        <v>0</v>
      </c>
      <c r="T29" s="46">
        <f t="shared" si="1"/>
        <v>36244648</v>
      </c>
      <c r="U29" s="185"/>
      <c r="V29" s="185"/>
      <c r="W29" s="201"/>
      <c r="X29" s="201"/>
    </row>
    <row r="30" spans="1:24" ht="15.75" customHeight="1" thickBot="1">
      <c r="A30" s="82" t="s">
        <v>171</v>
      </c>
      <c r="B30" s="83" t="s">
        <v>174</v>
      </c>
      <c r="C30" s="49">
        <f>17550580+1381868+1590296+74157+682890+6177647+170101+735138-1451-47+8686</f>
        <v>28369865</v>
      </c>
      <c r="D30" s="49"/>
      <c r="E30" s="49">
        <v>6229</v>
      </c>
      <c r="F30" s="25"/>
      <c r="G30" s="25"/>
      <c r="H30" s="49"/>
      <c r="I30" s="25"/>
      <c r="J30" s="25"/>
      <c r="K30" s="25">
        <f>78440+15185+1147+44888</f>
        <v>139660</v>
      </c>
      <c r="L30" s="25"/>
      <c r="M30" s="25">
        <v>9998</v>
      </c>
      <c r="N30" s="25">
        <v>200</v>
      </c>
      <c r="O30" s="25"/>
      <c r="P30" s="25">
        <v>1825010</v>
      </c>
      <c r="Q30" s="25">
        <f>3964320+20798+3109+600</f>
        <v>3988827</v>
      </c>
      <c r="R30" s="25">
        <f>1917207-9973+2670-5045</f>
        <v>1904859</v>
      </c>
      <c r="S30" s="257"/>
      <c r="T30" s="50">
        <f t="shared" si="1"/>
        <v>36244648</v>
      </c>
      <c r="U30" s="185"/>
      <c r="V30" s="185"/>
      <c r="W30" s="195"/>
      <c r="X30" s="201"/>
    </row>
    <row r="31" spans="1:24" ht="15.75" thickBot="1">
      <c r="A31" s="81" t="s">
        <v>36</v>
      </c>
      <c r="B31" s="43" t="s">
        <v>37</v>
      </c>
      <c r="C31" s="45">
        <f aca="true" t="shared" si="7" ref="C31:S31">SUM(C32:C33)</f>
        <v>859789</v>
      </c>
      <c r="D31" s="45">
        <f t="shared" si="7"/>
        <v>0</v>
      </c>
      <c r="E31" s="45">
        <f t="shared" si="7"/>
        <v>0</v>
      </c>
      <c r="F31" s="45">
        <f t="shared" si="7"/>
        <v>0</v>
      </c>
      <c r="G31" s="45">
        <f t="shared" si="7"/>
        <v>0</v>
      </c>
      <c r="H31" s="44">
        <f t="shared" si="7"/>
        <v>0</v>
      </c>
      <c r="I31" s="44">
        <f t="shared" si="7"/>
        <v>0</v>
      </c>
      <c r="J31" s="44">
        <f t="shared" si="7"/>
        <v>0</v>
      </c>
      <c r="K31" s="44">
        <f t="shared" si="7"/>
        <v>65214</v>
      </c>
      <c r="L31" s="44">
        <f t="shared" si="7"/>
        <v>0</v>
      </c>
      <c r="M31" s="44">
        <f t="shared" si="7"/>
        <v>0</v>
      </c>
      <c r="N31" s="44">
        <f t="shared" si="7"/>
        <v>0</v>
      </c>
      <c r="O31" s="44">
        <f t="shared" si="7"/>
        <v>0</v>
      </c>
      <c r="P31" s="44">
        <f t="shared" si="7"/>
        <v>106336</v>
      </c>
      <c r="Q31" s="44">
        <f t="shared" si="7"/>
        <v>168578</v>
      </c>
      <c r="R31" s="45">
        <f t="shared" si="7"/>
        <v>97870</v>
      </c>
      <c r="S31" s="45">
        <f t="shared" si="7"/>
        <v>100000</v>
      </c>
      <c r="T31" s="46">
        <f t="shared" si="1"/>
        <v>1397787</v>
      </c>
      <c r="U31" s="185"/>
      <c r="V31" s="185"/>
      <c r="W31" s="201"/>
      <c r="X31" s="201"/>
    </row>
    <row r="32" spans="1:24" ht="30">
      <c r="A32" s="53" t="s">
        <v>38</v>
      </c>
      <c r="B32" s="24" t="s">
        <v>175</v>
      </c>
      <c r="C32" s="52">
        <f>695773+164016</f>
        <v>859789</v>
      </c>
      <c r="D32" s="52"/>
      <c r="E32" s="52"/>
      <c r="F32" s="52"/>
      <c r="G32" s="52"/>
      <c r="H32" s="17"/>
      <c r="I32" s="52"/>
      <c r="J32" s="52"/>
      <c r="K32" s="52">
        <f>100000-10286-24500</f>
        <v>65214</v>
      </c>
      <c r="L32" s="52"/>
      <c r="M32" s="17"/>
      <c r="N32" s="52"/>
      <c r="O32" s="52"/>
      <c r="P32" s="52">
        <f>130000-23664</f>
        <v>106336</v>
      </c>
      <c r="Q32" s="52">
        <f>256800-88222</f>
        <v>168578</v>
      </c>
      <c r="R32" s="52">
        <f>150000-52130</f>
        <v>97870</v>
      </c>
      <c r="S32" s="257">
        <v>100000</v>
      </c>
      <c r="T32" s="50">
        <f t="shared" si="1"/>
        <v>1397787</v>
      </c>
      <c r="U32" s="185"/>
      <c r="V32" s="185"/>
      <c r="W32" s="195"/>
      <c r="X32" s="201"/>
    </row>
    <row r="33" spans="1:24" ht="26.25" customHeight="1" thickBot="1">
      <c r="A33" s="66" t="s">
        <v>39</v>
      </c>
      <c r="B33" s="298" t="s">
        <v>282</v>
      </c>
      <c r="C33" s="65"/>
      <c r="D33" s="65"/>
      <c r="E33" s="65"/>
      <c r="F33" s="69"/>
      <c r="G33" s="69"/>
      <c r="H33" s="64"/>
      <c r="I33" s="65"/>
      <c r="J33" s="68"/>
      <c r="K33" s="65"/>
      <c r="L33" s="69"/>
      <c r="M33" s="84"/>
      <c r="N33" s="85"/>
      <c r="O33" s="239"/>
      <c r="P33" s="273"/>
      <c r="Q33" s="84"/>
      <c r="R33" s="267"/>
      <c r="S33" s="258"/>
      <c r="T33" s="70">
        <f t="shared" si="1"/>
        <v>0</v>
      </c>
      <c r="U33" s="185"/>
      <c r="V33" s="185"/>
      <c r="W33" s="195"/>
      <c r="X33" s="201"/>
    </row>
    <row r="34" spans="1:24" ht="15.75" thickBot="1">
      <c r="A34" s="81" t="s">
        <v>40</v>
      </c>
      <c r="B34" s="43" t="s">
        <v>41</v>
      </c>
      <c r="C34" s="45">
        <f aca="true" t="shared" si="8" ref="C34:S34">SUM(C35,C36,C42)</f>
        <v>319041</v>
      </c>
      <c r="D34" s="45">
        <f t="shared" si="8"/>
        <v>2176793</v>
      </c>
      <c r="E34" s="45">
        <f t="shared" si="8"/>
        <v>41974</v>
      </c>
      <c r="F34" s="45">
        <f t="shared" si="8"/>
        <v>30511</v>
      </c>
      <c r="G34" s="45">
        <f t="shared" si="8"/>
        <v>291269</v>
      </c>
      <c r="H34" s="45">
        <f t="shared" si="8"/>
        <v>56200</v>
      </c>
      <c r="I34" s="45">
        <f t="shared" si="8"/>
        <v>99340</v>
      </c>
      <c r="J34" s="45">
        <f t="shared" si="8"/>
        <v>123675</v>
      </c>
      <c r="K34" s="45">
        <f t="shared" si="8"/>
        <v>768289</v>
      </c>
      <c r="L34" s="45">
        <f t="shared" si="8"/>
        <v>10000</v>
      </c>
      <c r="M34" s="45">
        <f t="shared" si="8"/>
        <v>17800</v>
      </c>
      <c r="N34" s="45">
        <f t="shared" si="8"/>
        <v>13500</v>
      </c>
      <c r="O34" s="45">
        <f t="shared" si="8"/>
        <v>43000</v>
      </c>
      <c r="P34" s="45">
        <f t="shared" si="8"/>
        <v>362070</v>
      </c>
      <c r="Q34" s="45">
        <f t="shared" si="8"/>
        <v>573292</v>
      </c>
      <c r="R34" s="45">
        <f t="shared" si="8"/>
        <v>114306</v>
      </c>
      <c r="S34" s="45">
        <f t="shared" si="8"/>
        <v>2984</v>
      </c>
      <c r="T34" s="46">
        <f>SUM(C34:R34)</f>
        <v>5041060</v>
      </c>
      <c r="U34" s="185"/>
      <c r="V34" s="185"/>
      <c r="W34" s="276"/>
      <c r="X34" s="201"/>
    </row>
    <row r="35" spans="1:24" ht="31.5">
      <c r="A35" s="86" t="s">
        <v>165</v>
      </c>
      <c r="B35" s="87" t="s">
        <v>166</v>
      </c>
      <c r="C35" s="88">
        <f>24678+7604</f>
        <v>32282</v>
      </c>
      <c r="D35" s="49"/>
      <c r="E35" s="25"/>
      <c r="F35" s="25"/>
      <c r="G35" s="25"/>
      <c r="H35" s="49"/>
      <c r="I35" s="49"/>
      <c r="J35" s="49"/>
      <c r="K35" s="49"/>
      <c r="L35" s="49"/>
      <c r="M35" s="49"/>
      <c r="N35" s="49"/>
      <c r="O35" s="25"/>
      <c r="P35" s="25"/>
      <c r="Q35" s="25">
        <v>14748</v>
      </c>
      <c r="R35" s="25"/>
      <c r="S35" s="257"/>
      <c r="T35" s="50">
        <f>SUM(C35:R35)</f>
        <v>47030</v>
      </c>
      <c r="U35" s="185"/>
      <c r="V35" s="185"/>
      <c r="W35" s="276"/>
      <c r="X35" s="201"/>
    </row>
    <row r="36" spans="1:24" ht="43.5">
      <c r="A36" s="89" t="s">
        <v>42</v>
      </c>
      <c r="B36" s="90" t="s">
        <v>176</v>
      </c>
      <c r="C36" s="33">
        <f aca="true" t="shared" si="9" ref="C36:S36">SUM(C37:C41)</f>
        <v>286759</v>
      </c>
      <c r="D36" s="33">
        <f t="shared" si="9"/>
        <v>2175793</v>
      </c>
      <c r="E36" s="33">
        <f t="shared" si="9"/>
        <v>38382</v>
      </c>
      <c r="F36" s="33">
        <f t="shared" si="9"/>
        <v>30511</v>
      </c>
      <c r="G36" s="33">
        <f t="shared" si="9"/>
        <v>291269</v>
      </c>
      <c r="H36" s="33">
        <f t="shared" si="9"/>
        <v>56200</v>
      </c>
      <c r="I36" s="91">
        <f t="shared" si="9"/>
        <v>98340</v>
      </c>
      <c r="J36" s="33">
        <f t="shared" si="9"/>
        <v>123675</v>
      </c>
      <c r="K36" s="33">
        <f t="shared" si="9"/>
        <v>768289</v>
      </c>
      <c r="L36" s="33">
        <f t="shared" si="9"/>
        <v>10000</v>
      </c>
      <c r="M36" s="33">
        <f t="shared" si="9"/>
        <v>17800</v>
      </c>
      <c r="N36" s="33">
        <f t="shared" si="9"/>
        <v>13500</v>
      </c>
      <c r="O36" s="33">
        <f t="shared" si="9"/>
        <v>43000</v>
      </c>
      <c r="P36" s="92">
        <f t="shared" si="9"/>
        <v>361070</v>
      </c>
      <c r="Q36" s="33">
        <f t="shared" si="9"/>
        <v>553144</v>
      </c>
      <c r="R36" s="33">
        <f t="shared" si="9"/>
        <v>103946</v>
      </c>
      <c r="S36" s="91">
        <f t="shared" si="9"/>
        <v>2984</v>
      </c>
      <c r="T36" s="50">
        <f aca="true" t="shared" si="10" ref="T36:T46">SUM(C36:S36)</f>
        <v>4974662</v>
      </c>
      <c r="U36" s="185"/>
      <c r="V36" s="185"/>
      <c r="W36" s="201"/>
      <c r="X36" s="201"/>
    </row>
    <row r="37" spans="1:24" ht="30">
      <c r="A37" s="51" t="s">
        <v>327</v>
      </c>
      <c r="B37" s="24" t="s">
        <v>391</v>
      </c>
      <c r="C37" s="92"/>
      <c r="D37" s="92"/>
      <c r="E37" s="92"/>
      <c r="F37" s="92"/>
      <c r="G37" s="93"/>
      <c r="H37" s="33"/>
      <c r="I37" s="91"/>
      <c r="J37" s="33"/>
      <c r="K37" s="56"/>
      <c r="L37" s="33"/>
      <c r="M37" s="91"/>
      <c r="N37" s="33"/>
      <c r="O37" s="91"/>
      <c r="P37" s="33">
        <v>5075</v>
      </c>
      <c r="Q37" s="33">
        <v>50</v>
      </c>
      <c r="R37" s="91"/>
      <c r="S37" s="254"/>
      <c r="T37" s="50">
        <f t="shared" si="10"/>
        <v>5125</v>
      </c>
      <c r="U37" s="185"/>
      <c r="V37" s="185"/>
      <c r="W37" s="195"/>
      <c r="X37" s="201"/>
    </row>
    <row r="38" spans="1:24" ht="15">
      <c r="A38" s="51" t="s">
        <v>136</v>
      </c>
      <c r="B38" s="24" t="s">
        <v>137</v>
      </c>
      <c r="C38" s="54">
        <v>93435</v>
      </c>
      <c r="D38" s="92"/>
      <c r="E38" s="92"/>
      <c r="F38" s="92"/>
      <c r="G38" s="52"/>
      <c r="H38" s="17">
        <v>46500</v>
      </c>
      <c r="I38" s="33"/>
      <c r="J38" s="17">
        <v>6900</v>
      </c>
      <c r="K38" s="17">
        <v>46493</v>
      </c>
      <c r="L38" s="33"/>
      <c r="M38" s="33"/>
      <c r="N38" s="33"/>
      <c r="O38" s="93">
        <v>4000</v>
      </c>
      <c r="P38" s="93">
        <v>50837</v>
      </c>
      <c r="Q38" s="33">
        <v>123565</v>
      </c>
      <c r="R38" s="91">
        <v>25983</v>
      </c>
      <c r="S38" s="254"/>
      <c r="T38" s="50">
        <f t="shared" si="10"/>
        <v>397713</v>
      </c>
      <c r="U38" s="185"/>
      <c r="V38" s="185"/>
      <c r="W38" s="195"/>
      <c r="X38" s="201"/>
    </row>
    <row r="39" spans="1:24" ht="30">
      <c r="A39" s="51" t="s">
        <v>138</v>
      </c>
      <c r="B39" s="24" t="s">
        <v>349</v>
      </c>
      <c r="C39" s="17"/>
      <c r="D39" s="17"/>
      <c r="E39" s="17"/>
      <c r="F39" s="52"/>
      <c r="G39" s="52"/>
      <c r="H39" s="17"/>
      <c r="I39" s="17">
        <v>10</v>
      </c>
      <c r="J39" s="17"/>
      <c r="K39" s="17"/>
      <c r="L39" s="17"/>
      <c r="M39" s="17"/>
      <c r="N39" s="17"/>
      <c r="O39" s="52"/>
      <c r="P39" s="52">
        <v>25</v>
      </c>
      <c r="Q39" s="17">
        <v>1030</v>
      </c>
      <c r="R39" s="56">
        <v>6500</v>
      </c>
      <c r="S39" s="257"/>
      <c r="T39" s="50">
        <f t="shared" si="10"/>
        <v>7565</v>
      </c>
      <c r="U39" s="185"/>
      <c r="V39" s="185"/>
      <c r="W39" s="195"/>
      <c r="X39" s="201"/>
    </row>
    <row r="40" spans="1:24" ht="15">
      <c r="A40" s="51" t="s">
        <v>43</v>
      </c>
      <c r="B40" s="24" t="s">
        <v>44</v>
      </c>
      <c r="C40" s="17">
        <v>172900</v>
      </c>
      <c r="D40" s="17">
        <v>37476</v>
      </c>
      <c r="E40" s="17">
        <f>53827-27600</f>
        <v>26227</v>
      </c>
      <c r="F40" s="17">
        <v>10850</v>
      </c>
      <c r="G40" s="17">
        <v>16589</v>
      </c>
      <c r="H40" s="54">
        <v>4700</v>
      </c>
      <c r="I40" s="17">
        <v>10310</v>
      </c>
      <c r="J40" s="17">
        <v>5780</v>
      </c>
      <c r="K40" s="17">
        <v>24565</v>
      </c>
      <c r="L40" s="52">
        <v>2500</v>
      </c>
      <c r="M40" s="17">
        <v>4000</v>
      </c>
      <c r="N40" s="219">
        <v>4000</v>
      </c>
      <c r="O40" s="56">
        <v>6000</v>
      </c>
      <c r="P40" s="219">
        <v>13190</v>
      </c>
      <c r="Q40" s="219">
        <v>185599</v>
      </c>
      <c r="R40" s="56">
        <v>39404</v>
      </c>
      <c r="S40" s="257"/>
      <c r="T40" s="50">
        <f t="shared" si="10"/>
        <v>564090</v>
      </c>
      <c r="U40" s="185"/>
      <c r="V40" s="185"/>
      <c r="W40" s="195"/>
      <c r="X40" s="201"/>
    </row>
    <row r="41" spans="1:24" ht="30">
      <c r="A41" s="51" t="s">
        <v>45</v>
      </c>
      <c r="B41" s="24" t="s">
        <v>46</v>
      </c>
      <c r="C41" s="17">
        <v>20424</v>
      </c>
      <c r="D41" s="17">
        <v>2138317</v>
      </c>
      <c r="E41" s="17">
        <f>103850-91695</f>
        <v>12155</v>
      </c>
      <c r="F41" s="17">
        <f>20435-774</f>
        <v>19661</v>
      </c>
      <c r="G41" s="17">
        <f>265180+8300+1200</f>
        <v>274680</v>
      </c>
      <c r="H41" s="95">
        <v>5000</v>
      </c>
      <c r="I41" s="54">
        <v>88020</v>
      </c>
      <c r="J41" s="17">
        <f>108920+100+1975</f>
        <v>110995</v>
      </c>
      <c r="K41" s="54">
        <v>697231</v>
      </c>
      <c r="L41" s="52">
        <v>7500</v>
      </c>
      <c r="M41" s="17">
        <v>13800</v>
      </c>
      <c r="N41" s="229">
        <v>9500</v>
      </c>
      <c r="O41" s="56">
        <v>33000</v>
      </c>
      <c r="P41" s="230">
        <v>291943</v>
      </c>
      <c r="Q41" s="230">
        <f>240264+2636</f>
        <v>242900</v>
      </c>
      <c r="R41" s="56">
        <v>32059</v>
      </c>
      <c r="S41" s="257">
        <v>2984</v>
      </c>
      <c r="T41" s="50">
        <f t="shared" si="10"/>
        <v>4000169</v>
      </c>
      <c r="U41" s="185"/>
      <c r="V41" s="185"/>
      <c r="W41" s="195"/>
      <c r="X41" s="201"/>
    </row>
    <row r="42" spans="1:24" ht="30" thickBot="1">
      <c r="A42" s="89" t="s">
        <v>267</v>
      </c>
      <c r="B42" s="90" t="s">
        <v>268</v>
      </c>
      <c r="C42" s="274"/>
      <c r="D42" s="79">
        <v>1000</v>
      </c>
      <c r="E42" s="79">
        <v>3592</v>
      </c>
      <c r="F42" s="80"/>
      <c r="G42" s="80"/>
      <c r="H42" s="96"/>
      <c r="I42" s="79">
        <v>1000</v>
      </c>
      <c r="J42" s="97"/>
      <c r="K42" s="97"/>
      <c r="L42" s="187"/>
      <c r="M42" s="79"/>
      <c r="N42" s="97"/>
      <c r="O42" s="97"/>
      <c r="P42" s="97">
        <v>1000</v>
      </c>
      <c r="Q42" s="97">
        <f>4900+500</f>
        <v>5400</v>
      </c>
      <c r="R42" s="97">
        <v>10360</v>
      </c>
      <c r="S42" s="187"/>
      <c r="T42" s="50">
        <f t="shared" si="10"/>
        <v>22352</v>
      </c>
      <c r="U42" s="185"/>
      <c r="V42" s="185"/>
      <c r="W42" s="195"/>
      <c r="X42" s="201"/>
    </row>
    <row r="43" spans="1:24" ht="15.75" thickBot="1">
      <c r="A43" s="98"/>
      <c r="B43" s="99" t="s">
        <v>47</v>
      </c>
      <c r="C43" s="100">
        <f aca="true" t="shared" si="11" ref="C43:S43">SUM(C8+C19+C28+C29+C31+C34)</f>
        <v>63270254</v>
      </c>
      <c r="D43" s="100">
        <f t="shared" si="11"/>
        <v>2176993</v>
      </c>
      <c r="E43" s="100">
        <f t="shared" si="11"/>
        <v>48203</v>
      </c>
      <c r="F43" s="100">
        <f t="shared" si="11"/>
        <v>30511</v>
      </c>
      <c r="G43" s="101">
        <f t="shared" si="11"/>
        <v>291269</v>
      </c>
      <c r="H43" s="100">
        <f t="shared" si="11"/>
        <v>192020</v>
      </c>
      <c r="I43" s="100">
        <f t="shared" si="11"/>
        <v>149800</v>
      </c>
      <c r="J43" s="100">
        <f t="shared" si="11"/>
        <v>168944</v>
      </c>
      <c r="K43" s="100">
        <f t="shared" si="11"/>
        <v>1253192</v>
      </c>
      <c r="L43" s="100">
        <f t="shared" si="11"/>
        <v>67000</v>
      </c>
      <c r="M43" s="100">
        <f t="shared" si="11"/>
        <v>78462</v>
      </c>
      <c r="N43" s="100">
        <f t="shared" si="11"/>
        <v>64280</v>
      </c>
      <c r="O43" s="100">
        <f t="shared" si="11"/>
        <v>117170</v>
      </c>
      <c r="P43" s="100">
        <f t="shared" si="11"/>
        <v>4977409</v>
      </c>
      <c r="Q43" s="100">
        <f t="shared" si="11"/>
        <v>8641271</v>
      </c>
      <c r="R43" s="100">
        <f t="shared" si="11"/>
        <v>7371068</v>
      </c>
      <c r="S43" s="100">
        <f t="shared" si="11"/>
        <v>102984</v>
      </c>
      <c r="T43" s="46">
        <f t="shared" si="10"/>
        <v>89000830</v>
      </c>
      <c r="U43" s="185"/>
      <c r="V43" s="185"/>
      <c r="W43" s="195"/>
      <c r="X43" s="201"/>
    </row>
    <row r="44" spans="1:24" ht="15">
      <c r="A44" s="102" t="s">
        <v>652</v>
      </c>
      <c r="B44" s="103" t="s">
        <v>610</v>
      </c>
      <c r="C44" s="102">
        <f>20211488-987669+4350988+213744</f>
        <v>23788551</v>
      </c>
      <c r="D44" s="49"/>
      <c r="E44" s="49"/>
      <c r="F44" s="25"/>
      <c r="G44" s="25"/>
      <c r="H44" s="49"/>
      <c r="I44" s="49"/>
      <c r="J44" s="49"/>
      <c r="K44" s="49"/>
      <c r="L44" s="49"/>
      <c r="M44" s="49"/>
      <c r="N44" s="25"/>
      <c r="O44" s="26"/>
      <c r="P44" s="25">
        <v>8764</v>
      </c>
      <c r="Q44" s="25">
        <f>5065097-4781569</f>
        <v>283528</v>
      </c>
      <c r="R44" s="26">
        <f>416566-173401</f>
        <v>243165</v>
      </c>
      <c r="S44" s="26"/>
      <c r="T44" s="34">
        <f t="shared" si="10"/>
        <v>24324008</v>
      </c>
      <c r="U44" s="185"/>
      <c r="V44" s="185"/>
      <c r="W44" s="201"/>
      <c r="X44" s="201"/>
    </row>
    <row r="45" spans="1:24" ht="15">
      <c r="A45" s="104"/>
      <c r="B45" s="105" t="s">
        <v>48</v>
      </c>
      <c r="C45" s="106">
        <f aca="true" t="shared" si="12" ref="C45:S45">SUM(C43:C44)</f>
        <v>87058805</v>
      </c>
      <c r="D45" s="104">
        <f t="shared" si="12"/>
        <v>2176993</v>
      </c>
      <c r="E45" s="104">
        <f t="shared" si="12"/>
        <v>48203</v>
      </c>
      <c r="F45" s="104">
        <f t="shared" si="12"/>
        <v>30511</v>
      </c>
      <c r="G45" s="107">
        <f t="shared" si="12"/>
        <v>291269</v>
      </c>
      <c r="H45" s="104">
        <f t="shared" si="12"/>
        <v>192020</v>
      </c>
      <c r="I45" s="104">
        <f t="shared" si="12"/>
        <v>149800</v>
      </c>
      <c r="J45" s="104">
        <f t="shared" si="12"/>
        <v>168944</v>
      </c>
      <c r="K45" s="104">
        <f t="shared" si="12"/>
        <v>1253192</v>
      </c>
      <c r="L45" s="104">
        <f t="shared" si="12"/>
        <v>67000</v>
      </c>
      <c r="M45" s="104">
        <f t="shared" si="12"/>
        <v>78462</v>
      </c>
      <c r="N45" s="107">
        <f t="shared" si="12"/>
        <v>64280</v>
      </c>
      <c r="O45" s="104">
        <f>SUM(O43:O44)</f>
        <v>117170</v>
      </c>
      <c r="P45" s="104">
        <f>SUM(P43:P44)</f>
        <v>4986173</v>
      </c>
      <c r="Q45" s="104">
        <f>SUM(Q43:Q44)</f>
        <v>8924799</v>
      </c>
      <c r="R45" s="104">
        <f t="shared" si="12"/>
        <v>7614233</v>
      </c>
      <c r="S45" s="104">
        <f t="shared" si="12"/>
        <v>102984</v>
      </c>
      <c r="T45" s="88">
        <f t="shared" si="10"/>
        <v>113324838</v>
      </c>
      <c r="U45" s="185"/>
      <c r="V45" s="185"/>
      <c r="W45" s="195"/>
      <c r="X45" s="201"/>
    </row>
    <row r="46" spans="1:24" ht="18" customHeight="1">
      <c r="A46" s="108" t="s">
        <v>264</v>
      </c>
      <c r="B46" s="109" t="s">
        <v>487</v>
      </c>
      <c r="C46" s="111">
        <v>7128989</v>
      </c>
      <c r="D46" s="231">
        <v>1963554</v>
      </c>
      <c r="E46" s="17">
        <v>228207</v>
      </c>
      <c r="F46" s="17"/>
      <c r="G46" s="17">
        <v>80182</v>
      </c>
      <c r="H46" s="54">
        <v>277425</v>
      </c>
      <c r="I46" s="17">
        <v>56851</v>
      </c>
      <c r="J46" s="17">
        <v>173887</v>
      </c>
      <c r="K46" s="17">
        <v>269676</v>
      </c>
      <c r="L46" s="52">
        <v>106126</v>
      </c>
      <c r="M46" s="17">
        <v>85574</v>
      </c>
      <c r="N46" s="17">
        <v>58235</v>
      </c>
      <c r="O46" s="17">
        <v>68069</v>
      </c>
      <c r="P46" s="17">
        <v>1184323</v>
      </c>
      <c r="Q46" s="17">
        <v>3320837</v>
      </c>
      <c r="R46" s="17">
        <v>2630839</v>
      </c>
      <c r="S46" s="49">
        <v>74838</v>
      </c>
      <c r="T46" s="88">
        <f t="shared" si="10"/>
        <v>17707612</v>
      </c>
      <c r="U46" s="185"/>
      <c r="V46" s="185"/>
      <c r="W46" s="195"/>
      <c r="X46" s="201"/>
    </row>
    <row r="47" spans="1:24" ht="15">
      <c r="A47" s="108" t="s">
        <v>167</v>
      </c>
      <c r="B47" s="1" t="s">
        <v>168</v>
      </c>
      <c r="C47" s="110"/>
      <c r="D47" s="17"/>
      <c r="E47" s="17"/>
      <c r="F47" s="52"/>
      <c r="G47" s="52"/>
      <c r="H47" s="17"/>
      <c r="I47" s="17"/>
      <c r="J47" s="17"/>
      <c r="K47" s="17"/>
      <c r="L47" s="17"/>
      <c r="M47" s="17"/>
      <c r="N47" s="52"/>
      <c r="O47" s="17"/>
      <c r="P47" s="52"/>
      <c r="Q47" s="52"/>
      <c r="R47" s="17"/>
      <c r="S47" s="49"/>
      <c r="T47" s="88">
        <f>SUM(C47:R47)</f>
        <v>0</v>
      </c>
      <c r="U47" s="185"/>
      <c r="V47" s="185"/>
      <c r="W47" s="195"/>
      <c r="X47" s="201"/>
    </row>
    <row r="48" spans="1:24" ht="15">
      <c r="A48" s="104"/>
      <c r="B48" s="109" t="s">
        <v>49</v>
      </c>
      <c r="C48" s="112">
        <f aca="true" t="shared" si="13" ref="C48:S48">SUM(C45:C46)</f>
        <v>94187794</v>
      </c>
      <c r="D48" s="112">
        <f t="shared" si="13"/>
        <v>4140547</v>
      </c>
      <c r="E48" s="112">
        <f t="shared" si="13"/>
        <v>276410</v>
      </c>
      <c r="F48" s="112">
        <f t="shared" si="13"/>
        <v>30511</v>
      </c>
      <c r="G48" s="112">
        <f t="shared" si="13"/>
        <v>371451</v>
      </c>
      <c r="H48" s="112">
        <f t="shared" si="13"/>
        <v>469445</v>
      </c>
      <c r="I48" s="112">
        <f t="shared" si="13"/>
        <v>206651</v>
      </c>
      <c r="J48" s="112">
        <f t="shared" si="13"/>
        <v>342831</v>
      </c>
      <c r="K48" s="112">
        <f t="shared" si="13"/>
        <v>1522868</v>
      </c>
      <c r="L48" s="112">
        <f t="shared" si="13"/>
        <v>173126</v>
      </c>
      <c r="M48" s="112">
        <f t="shared" si="13"/>
        <v>164036</v>
      </c>
      <c r="N48" s="112">
        <f t="shared" si="13"/>
        <v>122515</v>
      </c>
      <c r="O48" s="112">
        <f>SUM(O45:O46)</f>
        <v>185239</v>
      </c>
      <c r="P48" s="112">
        <f>SUM(P45:P46)</f>
        <v>6170496</v>
      </c>
      <c r="Q48" s="112">
        <f>SUM(Q45:Q46)</f>
        <v>12245636</v>
      </c>
      <c r="R48" s="112">
        <f t="shared" si="13"/>
        <v>10245072</v>
      </c>
      <c r="S48" s="112">
        <f t="shared" si="13"/>
        <v>177822</v>
      </c>
      <c r="T48" s="112">
        <f>SUM(T45:T46)</f>
        <v>131032450</v>
      </c>
      <c r="U48" s="278"/>
      <c r="V48" s="185"/>
      <c r="W48" s="195"/>
      <c r="X48" s="201"/>
    </row>
    <row r="49" spans="1:22" ht="15">
      <c r="A49" s="183"/>
      <c r="B49" s="202"/>
      <c r="C49" s="203"/>
      <c r="D49" s="183"/>
      <c r="E49" s="183"/>
      <c r="F49" s="183"/>
      <c r="G49" s="183"/>
      <c r="H49" s="185"/>
      <c r="I49" s="185"/>
      <c r="J49" s="185"/>
      <c r="K49" s="185"/>
      <c r="L49" s="185"/>
      <c r="M49" s="185"/>
      <c r="N49" s="185"/>
      <c r="O49" s="185"/>
      <c r="P49" s="185"/>
      <c r="Q49" s="185"/>
      <c r="R49" s="185"/>
      <c r="S49" s="185"/>
      <c r="T49" s="185"/>
      <c r="U49" s="185"/>
      <c r="V49" s="185"/>
    </row>
    <row r="50" spans="1:22" ht="15">
      <c r="A50" s="183"/>
      <c r="B50" s="202"/>
      <c r="C50" s="204"/>
      <c r="D50" s="183"/>
      <c r="E50" s="183"/>
      <c r="F50" s="183"/>
      <c r="G50" s="183"/>
      <c r="H50" s="185"/>
      <c r="I50" s="185"/>
      <c r="J50" s="185"/>
      <c r="K50" s="185"/>
      <c r="L50" s="185"/>
      <c r="M50" s="185"/>
      <c r="N50" s="185"/>
      <c r="O50" s="185"/>
      <c r="P50" s="185"/>
      <c r="Q50" s="185"/>
      <c r="R50" s="185"/>
      <c r="S50" s="185"/>
      <c r="T50" s="185"/>
      <c r="U50" s="185"/>
      <c r="V50" s="185"/>
    </row>
    <row r="51" spans="1:22" ht="15">
      <c r="A51" s="30"/>
      <c r="B51" s="193" t="s">
        <v>263</v>
      </c>
      <c r="C51" s="30"/>
      <c r="D51" s="30" t="s">
        <v>20</v>
      </c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184"/>
      <c r="U51" s="184"/>
      <c r="V51" s="184"/>
    </row>
    <row r="52" spans="1:22" ht="15">
      <c r="A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184"/>
      <c r="U52" s="184"/>
      <c r="V52" s="184"/>
    </row>
  </sheetData>
  <sheetProtection/>
  <mergeCells count="1">
    <mergeCell ref="A5:D5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71"/>
  <sheetViews>
    <sheetView zoomScale="98" zoomScaleNormal="98" zoomScalePageLayoutView="0" workbookViewId="0" topLeftCell="A1">
      <pane xSplit="2" ySplit="1" topLeftCell="C2" activePane="bottomRight" state="frozen"/>
      <selection pane="topLeft" activeCell="A1" sqref="A1"/>
      <selection pane="topRight" activeCell="D1" sqref="D1"/>
      <selection pane="bottomLeft" activeCell="A8" sqref="A8"/>
      <selection pane="bottomRight" activeCell="W342" sqref="W342"/>
    </sheetView>
  </sheetViews>
  <sheetFormatPr defaultColWidth="9.140625" defaultRowHeight="12.75"/>
  <cols>
    <col min="1" max="1" width="13.28125" style="21" customWidth="1"/>
    <col min="2" max="2" width="41.00390625" style="193" customWidth="1"/>
    <col min="3" max="3" width="12.7109375" style="21" customWidth="1"/>
    <col min="4" max="4" width="13.8515625" style="195" customWidth="1"/>
    <col min="5" max="6" width="10.00390625" style="21" customWidth="1"/>
    <col min="7" max="7" width="9.8515625" style="21" customWidth="1"/>
    <col min="8" max="8" width="10.00390625" style="21" customWidth="1"/>
    <col min="9" max="9" width="9.00390625" style="21" customWidth="1"/>
    <col min="10" max="10" width="9.140625" style="21" customWidth="1"/>
    <col min="11" max="11" width="9.7109375" style="21" customWidth="1"/>
    <col min="12" max="12" width="8.8515625" style="21" customWidth="1"/>
    <col min="13" max="13" width="9.7109375" style="21" customWidth="1"/>
    <col min="14" max="14" width="8.7109375" style="21" customWidth="1"/>
    <col min="15" max="15" width="9.57421875" style="21" customWidth="1"/>
    <col min="16" max="16" width="9.7109375" style="21" customWidth="1"/>
    <col min="17" max="17" width="10.00390625" style="21" customWidth="1"/>
    <col min="18" max="18" width="10.140625" style="21" customWidth="1"/>
    <col min="19" max="19" width="10.28125" style="21" customWidth="1"/>
    <col min="20" max="20" width="13.00390625" style="197" customWidth="1"/>
    <col min="21" max="22" width="11.28125" style="197" customWidth="1"/>
    <col min="23" max="23" width="8.421875" style="21" customWidth="1"/>
    <col min="24" max="24" width="11.28125" style="21" customWidth="1"/>
    <col min="25" max="16384" width="9.140625" style="21" customWidth="1"/>
  </cols>
  <sheetData>
    <row r="1" spans="1:22" ht="15">
      <c r="A1" s="183"/>
      <c r="B1" s="202"/>
      <c r="C1" s="30"/>
      <c r="D1" s="205"/>
      <c r="E1" s="206"/>
      <c r="F1" s="206"/>
      <c r="G1" s="206"/>
      <c r="H1" s="30"/>
      <c r="I1" s="30"/>
      <c r="J1" s="30"/>
      <c r="K1" s="30"/>
      <c r="L1" s="30"/>
      <c r="M1" s="30"/>
      <c r="N1" s="30"/>
      <c r="O1" s="30"/>
      <c r="P1" s="30"/>
      <c r="Q1" s="30"/>
      <c r="R1" s="207" t="s">
        <v>50</v>
      </c>
      <c r="S1" s="207"/>
      <c r="T1" s="184"/>
      <c r="U1" s="184"/>
      <c r="V1" s="184"/>
    </row>
    <row r="2" spans="1:22" ht="15">
      <c r="A2" s="183"/>
      <c r="B2" s="202"/>
      <c r="C2" s="30"/>
      <c r="D2" s="30"/>
      <c r="E2" s="208"/>
      <c r="F2" s="208"/>
      <c r="G2" s="208"/>
      <c r="H2" s="30"/>
      <c r="I2" s="30"/>
      <c r="J2" s="30"/>
      <c r="K2" s="30"/>
      <c r="L2" s="30"/>
      <c r="M2" s="30"/>
      <c r="N2" s="30"/>
      <c r="O2" s="30"/>
      <c r="P2" s="30"/>
      <c r="Q2" s="30"/>
      <c r="R2" s="207" t="s">
        <v>386</v>
      </c>
      <c r="S2" s="207"/>
      <c r="T2" s="184"/>
      <c r="U2" s="184"/>
      <c r="V2" s="184"/>
    </row>
    <row r="3" spans="1:22" ht="15">
      <c r="A3" s="209"/>
      <c r="B3" s="78"/>
      <c r="C3" s="30"/>
      <c r="D3" s="30"/>
      <c r="E3" s="208"/>
      <c r="F3" s="208"/>
      <c r="G3" s="208"/>
      <c r="H3" s="30"/>
      <c r="I3" s="30"/>
      <c r="J3" s="30"/>
      <c r="K3" s="30"/>
      <c r="L3" s="30"/>
      <c r="M3" s="30"/>
      <c r="N3" s="30"/>
      <c r="O3" s="30"/>
      <c r="P3" s="30"/>
      <c r="Q3" s="30"/>
      <c r="R3" s="207" t="s">
        <v>266</v>
      </c>
      <c r="S3" s="207"/>
      <c r="T3" s="184"/>
      <c r="U3" s="184"/>
      <c r="V3" s="184"/>
    </row>
    <row r="4" spans="1:22" ht="15">
      <c r="A4" s="209"/>
      <c r="B4" s="78"/>
      <c r="C4" s="30"/>
      <c r="D4" s="30"/>
      <c r="E4" s="208"/>
      <c r="F4" s="208"/>
      <c r="G4" s="208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184"/>
      <c r="U4" s="184"/>
      <c r="V4" s="184"/>
    </row>
    <row r="5" spans="1:22" ht="39.75" customHeight="1" thickBot="1">
      <c r="A5" s="300" t="s">
        <v>488</v>
      </c>
      <c r="B5" s="300"/>
      <c r="C5" s="300"/>
      <c r="D5" s="30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184"/>
      <c r="U5" s="184"/>
      <c r="V5" s="184"/>
    </row>
    <row r="6" spans="1:24" ht="135.75" thickBot="1">
      <c r="A6" s="113" t="s">
        <v>9</v>
      </c>
      <c r="B6" s="114" t="s">
        <v>128</v>
      </c>
      <c r="C6" s="40" t="s">
        <v>475</v>
      </c>
      <c r="D6" s="115" t="s">
        <v>476</v>
      </c>
      <c r="E6" s="39" t="s">
        <v>674</v>
      </c>
      <c r="F6" s="39" t="s">
        <v>675</v>
      </c>
      <c r="G6" s="40" t="s">
        <v>477</v>
      </c>
      <c r="H6" s="116" t="s">
        <v>478</v>
      </c>
      <c r="I6" s="116" t="s">
        <v>479</v>
      </c>
      <c r="J6" s="116" t="s">
        <v>480</v>
      </c>
      <c r="K6" s="116" t="s">
        <v>481</v>
      </c>
      <c r="L6" s="116" t="s">
        <v>482</v>
      </c>
      <c r="M6" s="116" t="s">
        <v>483</v>
      </c>
      <c r="N6" s="116" t="s">
        <v>484</v>
      </c>
      <c r="O6" s="117" t="s">
        <v>485</v>
      </c>
      <c r="P6" s="223" t="s">
        <v>657</v>
      </c>
      <c r="Q6" s="223" t="s">
        <v>658</v>
      </c>
      <c r="R6" s="23" t="s">
        <v>611</v>
      </c>
      <c r="S6" s="266" t="s">
        <v>636</v>
      </c>
      <c r="T6" s="118" t="s">
        <v>486</v>
      </c>
      <c r="U6" s="7"/>
      <c r="V6" s="7"/>
      <c r="W6" s="7"/>
      <c r="X6" s="7"/>
    </row>
    <row r="7" spans="1:24" ht="15.75" thickBot="1">
      <c r="A7" s="119" t="s">
        <v>51</v>
      </c>
      <c r="B7" s="43" t="s">
        <v>52</v>
      </c>
      <c r="C7" s="45">
        <f>C8+C9+C10+C11+C13+C14+C19</f>
        <v>5416573</v>
      </c>
      <c r="D7" s="45">
        <f aca="true" t="shared" si="0" ref="D7:Q7">D8+D9+D10+D11+D13+D14+D19</f>
        <v>0</v>
      </c>
      <c r="E7" s="45">
        <f t="shared" si="0"/>
        <v>0</v>
      </c>
      <c r="F7" s="45"/>
      <c r="G7" s="45">
        <f t="shared" si="0"/>
        <v>0</v>
      </c>
      <c r="H7" s="45">
        <f t="shared" si="0"/>
        <v>147274</v>
      </c>
      <c r="I7" s="45">
        <f t="shared" si="0"/>
        <v>73779</v>
      </c>
      <c r="J7" s="45">
        <f t="shared" si="0"/>
        <v>118936</v>
      </c>
      <c r="K7" s="45">
        <f t="shared" si="0"/>
        <v>143254</v>
      </c>
      <c r="L7" s="45">
        <f t="shared" si="0"/>
        <v>111380</v>
      </c>
      <c r="M7" s="45">
        <f t="shared" si="0"/>
        <v>63162</v>
      </c>
      <c r="N7" s="45">
        <f t="shared" si="0"/>
        <v>66520</v>
      </c>
      <c r="O7" s="45">
        <f t="shared" si="0"/>
        <v>120157</v>
      </c>
      <c r="P7" s="45">
        <f t="shared" si="0"/>
        <v>581387</v>
      </c>
      <c r="Q7" s="45">
        <f t="shared" si="0"/>
        <v>954530</v>
      </c>
      <c r="R7" s="45">
        <f>R8+R9+R10+R11+R13+R14+R19</f>
        <v>944618</v>
      </c>
      <c r="S7" s="45">
        <f>S8+S9+S10+S11+S13+S14+S19</f>
        <v>0</v>
      </c>
      <c r="T7" s="46">
        <f aca="true" t="shared" si="1" ref="T7:T18">SUM(C7:S7)</f>
        <v>8741570</v>
      </c>
      <c r="U7" s="185"/>
      <c r="V7" s="185"/>
      <c r="W7" s="201"/>
      <c r="X7" s="201"/>
    </row>
    <row r="8" spans="1:24" ht="29.25">
      <c r="A8" s="120" t="s">
        <v>177</v>
      </c>
      <c r="B8" s="121" t="s">
        <v>178</v>
      </c>
      <c r="C8" s="122">
        <f>2615955+5527+500+1055565+281331</f>
        <v>3958878</v>
      </c>
      <c r="D8" s="49"/>
      <c r="E8" s="49"/>
      <c r="F8" s="49"/>
      <c r="G8" s="26"/>
      <c r="H8" s="34">
        <f>132455+2185+12634</f>
        <v>147274</v>
      </c>
      <c r="I8" s="123">
        <v>73779</v>
      </c>
      <c r="J8" s="34">
        <v>118936</v>
      </c>
      <c r="K8" s="123">
        <v>143254</v>
      </c>
      <c r="L8" s="34">
        <v>111380</v>
      </c>
      <c r="M8" s="34">
        <v>63162</v>
      </c>
      <c r="N8" s="34">
        <v>66520</v>
      </c>
      <c r="O8" s="124">
        <v>120157</v>
      </c>
      <c r="P8" s="34">
        <v>519337</v>
      </c>
      <c r="Q8" s="34">
        <f>758141-38-29961</f>
        <v>728142</v>
      </c>
      <c r="R8" s="34">
        <v>725420</v>
      </c>
      <c r="S8" s="124"/>
      <c r="T8" s="125">
        <f t="shared" si="1"/>
        <v>6776239</v>
      </c>
      <c r="U8" s="185"/>
      <c r="V8" s="185"/>
      <c r="W8" s="201"/>
      <c r="X8" s="201"/>
    </row>
    <row r="9" spans="1:24" ht="29.25">
      <c r="A9" s="126" t="s">
        <v>653</v>
      </c>
      <c r="B9" s="121" t="s">
        <v>565</v>
      </c>
      <c r="C9" s="122"/>
      <c r="D9" s="25"/>
      <c r="E9" s="49"/>
      <c r="F9" s="25"/>
      <c r="G9" s="25"/>
      <c r="H9" s="88"/>
      <c r="I9" s="181"/>
      <c r="J9" s="88"/>
      <c r="K9" s="124"/>
      <c r="L9" s="122"/>
      <c r="M9" s="122"/>
      <c r="N9" s="88"/>
      <c r="O9" s="124"/>
      <c r="P9" s="88">
        <v>53538</v>
      </c>
      <c r="Q9" s="88">
        <v>41092</v>
      </c>
      <c r="R9" s="124"/>
      <c r="S9" s="93"/>
      <c r="T9" s="128">
        <f t="shared" si="1"/>
        <v>94630</v>
      </c>
      <c r="U9" s="185"/>
      <c r="V9" s="185"/>
      <c r="W9" s="195"/>
      <c r="X9" s="201"/>
    </row>
    <row r="10" spans="1:24" ht="29.25">
      <c r="A10" s="126" t="s">
        <v>350</v>
      </c>
      <c r="B10" s="121" t="s">
        <v>471</v>
      </c>
      <c r="C10" s="122">
        <v>150893</v>
      </c>
      <c r="D10" s="25"/>
      <c r="E10" s="49"/>
      <c r="F10" s="25"/>
      <c r="G10" s="25"/>
      <c r="H10" s="88"/>
      <c r="I10" s="88"/>
      <c r="J10" s="88"/>
      <c r="K10" s="124"/>
      <c r="L10" s="122"/>
      <c r="M10" s="122"/>
      <c r="N10" s="33"/>
      <c r="O10" s="124"/>
      <c r="P10" s="88"/>
      <c r="Q10" s="88">
        <v>25179</v>
      </c>
      <c r="R10" s="124">
        <v>25569</v>
      </c>
      <c r="S10" s="93"/>
      <c r="T10" s="128">
        <f t="shared" si="1"/>
        <v>201641</v>
      </c>
      <c r="U10" s="185"/>
      <c r="V10" s="185"/>
      <c r="W10" s="195"/>
      <c r="X10" s="201"/>
    </row>
    <row r="11" spans="1:24" ht="15">
      <c r="A11" s="127" t="s">
        <v>53</v>
      </c>
      <c r="B11" s="90" t="s">
        <v>54</v>
      </c>
      <c r="C11" s="93">
        <f>SUM(C12:C12)</f>
        <v>287251</v>
      </c>
      <c r="D11" s="93">
        <f>SUM(D12:D12)</f>
        <v>0</v>
      </c>
      <c r="E11" s="33"/>
      <c r="F11" s="93"/>
      <c r="G11" s="93"/>
      <c r="H11" s="33">
        <f aca="true" t="shared" si="2" ref="H11:S11">SUM(H12:H12)</f>
        <v>0</v>
      </c>
      <c r="I11" s="33">
        <f t="shared" si="2"/>
        <v>0</v>
      </c>
      <c r="J11" s="33">
        <f t="shared" si="2"/>
        <v>0</v>
      </c>
      <c r="K11" s="93">
        <f t="shared" si="2"/>
        <v>0</v>
      </c>
      <c r="L11" s="93">
        <f t="shared" si="2"/>
        <v>0</v>
      </c>
      <c r="M11" s="93">
        <f t="shared" si="2"/>
        <v>0</v>
      </c>
      <c r="N11" s="93">
        <f t="shared" si="2"/>
        <v>0</v>
      </c>
      <c r="O11" s="93">
        <f t="shared" si="2"/>
        <v>0</v>
      </c>
      <c r="P11" s="93">
        <f t="shared" si="2"/>
        <v>8512</v>
      </c>
      <c r="Q11" s="93">
        <f t="shared" si="2"/>
        <v>19539</v>
      </c>
      <c r="R11" s="93">
        <f t="shared" si="2"/>
        <v>18531</v>
      </c>
      <c r="S11" s="93">
        <f t="shared" si="2"/>
        <v>0</v>
      </c>
      <c r="T11" s="128">
        <f t="shared" si="1"/>
        <v>333833</v>
      </c>
      <c r="U11" s="185"/>
      <c r="V11" s="185"/>
      <c r="W11" s="195"/>
      <c r="X11" s="201"/>
    </row>
    <row r="12" spans="1:24" ht="30">
      <c r="A12" s="51" t="s">
        <v>55</v>
      </c>
      <c r="B12" s="24" t="s">
        <v>56</v>
      </c>
      <c r="C12" s="52">
        <f>232220+55031</f>
        <v>287251</v>
      </c>
      <c r="D12" s="17"/>
      <c r="E12" s="17"/>
      <c r="F12" s="52"/>
      <c r="G12" s="52"/>
      <c r="H12" s="17"/>
      <c r="I12" s="17"/>
      <c r="J12" s="17"/>
      <c r="K12" s="17"/>
      <c r="L12" s="17"/>
      <c r="M12" s="17"/>
      <c r="N12" s="17"/>
      <c r="O12" s="17"/>
      <c r="P12" s="17">
        <v>8512</v>
      </c>
      <c r="Q12" s="17">
        <v>19539</v>
      </c>
      <c r="R12" s="52">
        <v>18531</v>
      </c>
      <c r="S12" s="52"/>
      <c r="T12" s="128">
        <f t="shared" si="1"/>
        <v>333833</v>
      </c>
      <c r="U12" s="185"/>
      <c r="V12" s="185"/>
      <c r="W12" s="195"/>
      <c r="X12" s="201"/>
    </row>
    <row r="13" spans="1:24" ht="29.25">
      <c r="A13" s="292" t="s">
        <v>179</v>
      </c>
      <c r="B13" s="129" t="s">
        <v>180</v>
      </c>
      <c r="C13" s="52">
        <f>2034+4562+8260</f>
        <v>14856</v>
      </c>
      <c r="D13" s="52"/>
      <c r="E13" s="17"/>
      <c r="F13" s="52"/>
      <c r="G13" s="52"/>
      <c r="H13" s="17"/>
      <c r="I13" s="17"/>
      <c r="J13" s="17"/>
      <c r="K13" s="52"/>
      <c r="L13" s="52"/>
      <c r="M13" s="52"/>
      <c r="N13" s="52"/>
      <c r="O13" s="52"/>
      <c r="P13" s="52"/>
      <c r="Q13" s="52"/>
      <c r="R13" s="52"/>
      <c r="S13" s="52"/>
      <c r="T13" s="128">
        <f t="shared" si="1"/>
        <v>14856</v>
      </c>
      <c r="U13" s="185"/>
      <c r="V13" s="185"/>
      <c r="W13" s="195"/>
      <c r="X13" s="201"/>
    </row>
    <row r="14" spans="1:24" ht="29.25">
      <c r="A14" s="127" t="s">
        <v>57</v>
      </c>
      <c r="B14" s="129" t="s">
        <v>58</v>
      </c>
      <c r="C14" s="93">
        <f>SUM(C15:C18)</f>
        <v>1004695</v>
      </c>
      <c r="D14" s="93">
        <f aca="true" t="shared" si="3" ref="D14:S14">SUM(D15:D18)</f>
        <v>0</v>
      </c>
      <c r="E14" s="93">
        <f t="shared" si="3"/>
        <v>0</v>
      </c>
      <c r="F14" s="93"/>
      <c r="G14" s="93">
        <f t="shared" si="3"/>
        <v>0</v>
      </c>
      <c r="H14" s="93">
        <f t="shared" si="3"/>
        <v>0</v>
      </c>
      <c r="I14" s="93">
        <f t="shared" si="3"/>
        <v>0</v>
      </c>
      <c r="J14" s="93">
        <f t="shared" si="3"/>
        <v>0</v>
      </c>
      <c r="K14" s="93">
        <f t="shared" si="3"/>
        <v>0</v>
      </c>
      <c r="L14" s="93">
        <f t="shared" si="3"/>
        <v>0</v>
      </c>
      <c r="M14" s="93">
        <f t="shared" si="3"/>
        <v>0</v>
      </c>
      <c r="N14" s="93">
        <f t="shared" si="3"/>
        <v>0</v>
      </c>
      <c r="O14" s="93">
        <f t="shared" si="3"/>
        <v>0</v>
      </c>
      <c r="P14" s="93">
        <f t="shared" si="3"/>
        <v>0</v>
      </c>
      <c r="Q14" s="93">
        <f t="shared" si="3"/>
        <v>140578</v>
      </c>
      <c r="R14" s="93">
        <f t="shared" si="3"/>
        <v>175098</v>
      </c>
      <c r="S14" s="93">
        <f t="shared" si="3"/>
        <v>0</v>
      </c>
      <c r="T14" s="128">
        <f t="shared" si="1"/>
        <v>1320371</v>
      </c>
      <c r="U14" s="185"/>
      <c r="V14" s="185"/>
      <c r="W14" s="195"/>
      <c r="X14" s="201"/>
    </row>
    <row r="15" spans="1:24" ht="30">
      <c r="A15" s="130" t="s">
        <v>290</v>
      </c>
      <c r="B15" s="24" t="s">
        <v>59</v>
      </c>
      <c r="C15" s="52">
        <f>600000+279369-57522-1451-47-225</f>
        <v>820124</v>
      </c>
      <c r="D15" s="17"/>
      <c r="E15" s="17"/>
      <c r="F15" s="52"/>
      <c r="G15" s="52"/>
      <c r="H15" s="17"/>
      <c r="I15" s="17"/>
      <c r="J15" s="17"/>
      <c r="K15" s="17"/>
      <c r="L15" s="17"/>
      <c r="M15" s="17"/>
      <c r="N15" s="17"/>
      <c r="O15" s="52"/>
      <c r="P15" s="52"/>
      <c r="Q15" s="52">
        <f>228800-88222</f>
        <v>140578</v>
      </c>
      <c r="R15" s="52"/>
      <c r="S15" s="52"/>
      <c r="T15" s="128">
        <f t="shared" si="1"/>
        <v>960702</v>
      </c>
      <c r="U15" s="185"/>
      <c r="V15" s="185"/>
      <c r="W15" s="195"/>
      <c r="X15" s="201"/>
    </row>
    <row r="16" spans="1:24" ht="30">
      <c r="A16" s="130" t="s">
        <v>291</v>
      </c>
      <c r="B16" s="24" t="s">
        <v>261</v>
      </c>
      <c r="C16" s="52">
        <f>145506-60935</f>
        <v>84571</v>
      </c>
      <c r="D16" s="17"/>
      <c r="E16" s="17"/>
      <c r="F16" s="52"/>
      <c r="G16" s="52"/>
      <c r="H16" s="17"/>
      <c r="I16" s="17">
        <f>17331-17331</f>
        <v>0</v>
      </c>
      <c r="J16" s="17"/>
      <c r="K16" s="17"/>
      <c r="L16" s="17"/>
      <c r="M16" s="17"/>
      <c r="N16" s="17"/>
      <c r="O16" s="52">
        <f>12000-12000</f>
        <v>0</v>
      </c>
      <c r="P16" s="52"/>
      <c r="Q16" s="52"/>
      <c r="R16" s="52"/>
      <c r="S16" s="52"/>
      <c r="T16" s="128">
        <f t="shared" si="1"/>
        <v>84571</v>
      </c>
      <c r="U16" s="185"/>
      <c r="V16" s="185"/>
      <c r="W16" s="195"/>
      <c r="X16" s="201"/>
    </row>
    <row r="17" spans="1:24" ht="45">
      <c r="A17" s="130" t="s">
        <v>292</v>
      </c>
      <c r="B17" s="67" t="s">
        <v>351</v>
      </c>
      <c r="C17" s="69">
        <v>100000</v>
      </c>
      <c r="D17" s="65"/>
      <c r="E17" s="65"/>
      <c r="F17" s="69"/>
      <c r="G17" s="69"/>
      <c r="H17" s="65"/>
      <c r="I17" s="65"/>
      <c r="J17" s="65"/>
      <c r="K17" s="65"/>
      <c r="L17" s="65"/>
      <c r="M17" s="65"/>
      <c r="N17" s="65"/>
      <c r="O17" s="69"/>
      <c r="P17" s="69"/>
      <c r="Q17" s="69"/>
      <c r="R17" s="69"/>
      <c r="S17" s="52"/>
      <c r="T17" s="128">
        <f t="shared" si="1"/>
        <v>100000</v>
      </c>
      <c r="U17" s="185"/>
      <c r="V17" s="185"/>
      <c r="W17" s="195"/>
      <c r="X17" s="201"/>
    </row>
    <row r="18" spans="1:24" ht="30">
      <c r="A18" s="262" t="s">
        <v>57</v>
      </c>
      <c r="B18" s="67" t="s">
        <v>616</v>
      </c>
      <c r="C18" s="69"/>
      <c r="D18" s="65"/>
      <c r="E18" s="65"/>
      <c r="F18" s="69"/>
      <c r="G18" s="69"/>
      <c r="H18" s="65"/>
      <c r="I18" s="65"/>
      <c r="J18" s="65"/>
      <c r="K18" s="65"/>
      <c r="L18" s="65"/>
      <c r="M18" s="65"/>
      <c r="N18" s="65"/>
      <c r="O18" s="69"/>
      <c r="P18" s="69"/>
      <c r="Q18" s="69"/>
      <c r="R18" s="17">
        <v>175098</v>
      </c>
      <c r="S18" s="56"/>
      <c r="T18" s="128">
        <f t="shared" si="1"/>
        <v>175098</v>
      </c>
      <c r="U18" s="185"/>
      <c r="V18" s="185"/>
      <c r="W18" s="195"/>
      <c r="X18" s="201"/>
    </row>
    <row r="19" spans="1:24" s="197" customFormat="1" ht="15.75" thickBot="1">
      <c r="A19" s="132" t="s">
        <v>60</v>
      </c>
      <c r="B19" s="133" t="s">
        <v>181</v>
      </c>
      <c r="C19" s="135">
        <f>600000-547645-40041-3627-8687</f>
        <v>0</v>
      </c>
      <c r="D19" s="136"/>
      <c r="E19" s="136"/>
      <c r="F19" s="134"/>
      <c r="G19" s="134"/>
      <c r="H19" s="137"/>
      <c r="I19" s="136"/>
      <c r="J19" s="136"/>
      <c r="K19" s="136">
        <f>5551-5551</f>
        <v>0</v>
      </c>
      <c r="L19" s="136"/>
      <c r="M19" s="136"/>
      <c r="N19" s="136"/>
      <c r="O19" s="134"/>
      <c r="P19" s="134">
        <f>25000-25000</f>
        <v>0</v>
      </c>
      <c r="Q19" s="134">
        <f>18744-18744</f>
        <v>0</v>
      </c>
      <c r="R19" s="137">
        <f>9886-9886</f>
        <v>0</v>
      </c>
      <c r="S19" s="185"/>
      <c r="T19" s="138">
        <f>SUM(C19:S19)</f>
        <v>0</v>
      </c>
      <c r="U19" s="185"/>
      <c r="V19" s="185"/>
      <c r="W19" s="201"/>
      <c r="X19" s="201"/>
    </row>
    <row r="20" spans="1:24" ht="15.75" thickBot="1">
      <c r="A20" s="81" t="s">
        <v>61</v>
      </c>
      <c r="B20" s="43" t="s">
        <v>62</v>
      </c>
      <c r="C20" s="45">
        <f>SUM(C21:C22,C25:C26)</f>
        <v>880595</v>
      </c>
      <c r="D20" s="45">
        <f aca="true" t="shared" si="4" ref="D20:N20">SUM(D21:D22,D25:D26)</f>
        <v>0</v>
      </c>
      <c r="E20" s="45">
        <f t="shared" si="4"/>
        <v>0</v>
      </c>
      <c r="F20" s="45"/>
      <c r="G20" s="45">
        <f t="shared" si="4"/>
        <v>0</v>
      </c>
      <c r="H20" s="45">
        <f t="shared" si="4"/>
        <v>5741</v>
      </c>
      <c r="I20" s="45">
        <f t="shared" si="4"/>
        <v>0</v>
      </c>
      <c r="J20" s="45">
        <f t="shared" si="4"/>
        <v>0</v>
      </c>
      <c r="K20" s="45">
        <f t="shared" si="4"/>
        <v>4400</v>
      </c>
      <c r="L20" s="45">
        <f t="shared" si="4"/>
        <v>0</v>
      </c>
      <c r="M20" s="45">
        <f t="shared" si="4"/>
        <v>0</v>
      </c>
      <c r="N20" s="45">
        <f t="shared" si="4"/>
        <v>0</v>
      </c>
      <c r="O20" s="45">
        <f>SUM(O21:O22,O25:O26)</f>
        <v>700</v>
      </c>
      <c r="P20" s="45">
        <f>SUM(P21:P22,P25:P26)</f>
        <v>73053</v>
      </c>
      <c r="Q20" s="45">
        <f>SUM(Q21:Q22,Q25:Q26)</f>
        <v>220918</v>
      </c>
      <c r="R20" s="44">
        <f>SUM(R21:R22,R24,R25:R26)</f>
        <v>284871</v>
      </c>
      <c r="S20" s="44">
        <f>SUM(S21:S22,S24,S25:S26)</f>
        <v>0</v>
      </c>
      <c r="T20" s="46">
        <f>SUM(C20:S20)</f>
        <v>1470278</v>
      </c>
      <c r="U20" s="185"/>
      <c r="V20" s="185"/>
      <c r="W20" s="201"/>
      <c r="X20" s="201"/>
    </row>
    <row r="21" spans="1:24" ht="15">
      <c r="A21" s="120" t="s">
        <v>182</v>
      </c>
      <c r="B21" s="121" t="s">
        <v>18</v>
      </c>
      <c r="C21" s="139">
        <v>562875</v>
      </c>
      <c r="D21" s="49"/>
      <c r="E21" s="49"/>
      <c r="F21" s="25"/>
      <c r="G21" s="25"/>
      <c r="H21" s="49"/>
      <c r="I21" s="49"/>
      <c r="J21" s="49"/>
      <c r="K21" s="49"/>
      <c r="L21" s="49"/>
      <c r="M21" s="49"/>
      <c r="N21" s="49"/>
      <c r="O21" s="25"/>
      <c r="P21" s="25">
        <v>73053</v>
      </c>
      <c r="Q21" s="25">
        <f>204313+16605</f>
        <v>220918</v>
      </c>
      <c r="R21" s="26">
        <f>270918</f>
        <v>270918</v>
      </c>
      <c r="S21" s="76"/>
      <c r="T21" s="125">
        <f aca="true" t="shared" si="5" ref="T21:T80">SUM(C21:S21)</f>
        <v>1127764</v>
      </c>
      <c r="U21" s="185"/>
      <c r="V21" s="185"/>
      <c r="W21" s="195"/>
      <c r="X21" s="201"/>
    </row>
    <row r="22" spans="1:24" ht="29.25">
      <c r="A22" s="140" t="s">
        <v>253</v>
      </c>
      <c r="B22" s="141" t="s">
        <v>255</v>
      </c>
      <c r="C22" s="93">
        <f aca="true" t="shared" si="6" ref="C22:S22">SUM(C23:C23)</f>
        <v>204130</v>
      </c>
      <c r="D22" s="93">
        <f t="shared" si="6"/>
        <v>0</v>
      </c>
      <c r="E22" s="93">
        <f t="shared" si="6"/>
        <v>0</v>
      </c>
      <c r="F22" s="93"/>
      <c r="G22" s="93">
        <f t="shared" si="6"/>
        <v>0</v>
      </c>
      <c r="H22" s="93">
        <f t="shared" si="6"/>
        <v>0</v>
      </c>
      <c r="I22" s="93">
        <f t="shared" si="6"/>
        <v>0</v>
      </c>
      <c r="J22" s="93">
        <f t="shared" si="6"/>
        <v>0</v>
      </c>
      <c r="K22" s="93">
        <f t="shared" si="6"/>
        <v>0</v>
      </c>
      <c r="L22" s="93">
        <f t="shared" si="6"/>
        <v>0</v>
      </c>
      <c r="M22" s="93">
        <f t="shared" si="6"/>
        <v>0</v>
      </c>
      <c r="N22" s="93">
        <f t="shared" si="6"/>
        <v>0</v>
      </c>
      <c r="O22" s="93">
        <f t="shared" si="6"/>
        <v>0</v>
      </c>
      <c r="P22" s="93">
        <f t="shared" si="6"/>
        <v>0</v>
      </c>
      <c r="Q22" s="93">
        <f t="shared" si="6"/>
        <v>0</v>
      </c>
      <c r="R22" s="93">
        <f t="shared" si="6"/>
        <v>0</v>
      </c>
      <c r="S22" s="93">
        <f t="shared" si="6"/>
        <v>0</v>
      </c>
      <c r="T22" s="128">
        <f t="shared" si="5"/>
        <v>204130</v>
      </c>
      <c r="U22" s="185"/>
      <c r="V22" s="185"/>
      <c r="W22" s="195"/>
      <c r="X22" s="201"/>
    </row>
    <row r="23" spans="1:24" ht="30">
      <c r="A23" s="270" t="s">
        <v>293</v>
      </c>
      <c r="B23" s="142" t="s">
        <v>465</v>
      </c>
      <c r="C23" s="131">
        <v>204130</v>
      </c>
      <c r="D23" s="17"/>
      <c r="E23" s="17"/>
      <c r="F23" s="52"/>
      <c r="G23" s="52"/>
      <c r="H23" s="17"/>
      <c r="I23" s="17"/>
      <c r="J23" s="17"/>
      <c r="K23" s="17"/>
      <c r="L23" s="17"/>
      <c r="M23" s="17"/>
      <c r="N23" s="17"/>
      <c r="O23" s="52"/>
      <c r="P23" s="17"/>
      <c r="Q23" s="52"/>
      <c r="R23" s="17"/>
      <c r="S23" s="52"/>
      <c r="T23" s="128">
        <f t="shared" si="5"/>
        <v>204130</v>
      </c>
      <c r="U23" s="185"/>
      <c r="V23" s="185"/>
      <c r="W23" s="195"/>
      <c r="X23" s="201"/>
    </row>
    <row r="24" spans="1:24" ht="15">
      <c r="A24" s="269" t="s">
        <v>643</v>
      </c>
      <c r="B24" s="142" t="s">
        <v>644</v>
      </c>
      <c r="C24" s="143"/>
      <c r="D24" s="79"/>
      <c r="E24" s="79"/>
      <c r="F24" s="80"/>
      <c r="G24" s="80"/>
      <c r="H24" s="79"/>
      <c r="I24" s="79"/>
      <c r="J24" s="79"/>
      <c r="K24" s="79"/>
      <c r="L24" s="79"/>
      <c r="M24" s="79"/>
      <c r="N24" s="79"/>
      <c r="O24" s="80"/>
      <c r="P24" s="79"/>
      <c r="Q24" s="80"/>
      <c r="R24" s="80">
        <v>13953</v>
      </c>
      <c r="S24" s="52"/>
      <c r="T24" s="128">
        <f t="shared" si="5"/>
        <v>13953</v>
      </c>
      <c r="U24" s="185"/>
      <c r="V24" s="185"/>
      <c r="W24" s="195"/>
      <c r="X24" s="201"/>
    </row>
    <row r="25" spans="1:24" s="197" customFormat="1" ht="29.25">
      <c r="A25" s="144" t="s">
        <v>63</v>
      </c>
      <c r="B25" s="90" t="s">
        <v>183</v>
      </c>
      <c r="C25" s="33">
        <v>33030</v>
      </c>
      <c r="D25" s="33"/>
      <c r="E25" s="33"/>
      <c r="F25" s="93"/>
      <c r="G25" s="93"/>
      <c r="H25" s="33">
        <v>5741</v>
      </c>
      <c r="I25" s="33"/>
      <c r="J25" s="33"/>
      <c r="K25" s="33">
        <v>4400</v>
      </c>
      <c r="L25" s="33"/>
      <c r="M25" s="33"/>
      <c r="N25" s="33"/>
      <c r="O25" s="93">
        <v>700</v>
      </c>
      <c r="P25" s="33"/>
      <c r="Q25" s="93"/>
      <c r="R25" s="93"/>
      <c r="S25" s="93"/>
      <c r="T25" s="128">
        <f t="shared" si="5"/>
        <v>43871</v>
      </c>
      <c r="U25" s="185"/>
      <c r="V25" s="185"/>
      <c r="W25" s="195"/>
      <c r="X25" s="201"/>
    </row>
    <row r="26" spans="1:24" s="197" customFormat="1" ht="15.75" thickBot="1">
      <c r="A26" s="145" t="s">
        <v>328</v>
      </c>
      <c r="B26" s="146" t="s">
        <v>329</v>
      </c>
      <c r="C26" s="147">
        <f>60000+20560</f>
        <v>80560</v>
      </c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37"/>
      <c r="S26" s="185"/>
      <c r="T26" s="138">
        <f t="shared" si="5"/>
        <v>80560</v>
      </c>
      <c r="U26" s="185"/>
      <c r="V26" s="185"/>
      <c r="W26" s="195"/>
      <c r="X26" s="201"/>
    </row>
    <row r="27" spans="1:24" ht="15.75" thickBot="1">
      <c r="A27" s="81" t="s">
        <v>1</v>
      </c>
      <c r="B27" s="43" t="s">
        <v>64</v>
      </c>
      <c r="C27" s="44">
        <f>SUM(C28,C37,C40:C42,C77,C79,C80,C81,C82,C83,)</f>
        <v>9896248</v>
      </c>
      <c r="D27" s="44">
        <f>SUM(D28,D37,D40:D42,D77,D79,D80,D81,D82,D83,)</f>
        <v>170339</v>
      </c>
      <c r="E27" s="44">
        <f>SUM(E28,E37,E40:E42,E77,E79,E80,E81,E82,E83,)</f>
        <v>0</v>
      </c>
      <c r="F27" s="44"/>
      <c r="G27" s="44">
        <f aca="true" t="shared" si="7" ref="G27:S27">SUM(G28,G37,G40:G42,G77,G79,G80,G81,G82,G83,)</f>
        <v>0</v>
      </c>
      <c r="H27" s="44">
        <f t="shared" si="7"/>
        <v>158828</v>
      </c>
      <c r="I27" s="44">
        <f t="shared" si="7"/>
        <v>53936</v>
      </c>
      <c r="J27" s="44">
        <f t="shared" si="7"/>
        <v>65608</v>
      </c>
      <c r="K27" s="44">
        <f t="shared" si="7"/>
        <v>291633</v>
      </c>
      <c r="L27" s="44">
        <f t="shared" si="7"/>
        <v>38178</v>
      </c>
      <c r="M27" s="44">
        <f t="shared" si="7"/>
        <v>50439</v>
      </c>
      <c r="N27" s="44">
        <f t="shared" si="7"/>
        <v>32238</v>
      </c>
      <c r="O27" s="44">
        <f t="shared" si="7"/>
        <v>47860</v>
      </c>
      <c r="P27" s="44">
        <f t="shared" si="7"/>
        <v>27191</v>
      </c>
      <c r="Q27" s="44">
        <f t="shared" si="7"/>
        <v>3424023</v>
      </c>
      <c r="R27" s="44">
        <f t="shared" si="7"/>
        <v>1944271</v>
      </c>
      <c r="S27" s="44">
        <f t="shared" si="7"/>
        <v>327822</v>
      </c>
      <c r="T27" s="46">
        <f>SUM(C27:S27)</f>
        <v>16528614</v>
      </c>
      <c r="U27" s="185"/>
      <c r="V27" s="185"/>
      <c r="W27" s="201"/>
      <c r="X27" s="201"/>
    </row>
    <row r="28" spans="1:24" ht="15">
      <c r="A28" s="120" t="s">
        <v>65</v>
      </c>
      <c r="B28" s="88" t="s">
        <v>66</v>
      </c>
      <c r="C28" s="122">
        <f>SUM(C29:C33)</f>
        <v>266300</v>
      </c>
      <c r="D28" s="122">
        <f>SUM(D29:D33)</f>
        <v>0</v>
      </c>
      <c r="E28" s="122">
        <f>SUM(E29:E33)</f>
        <v>0</v>
      </c>
      <c r="F28" s="122"/>
      <c r="G28" s="122">
        <f aca="true" t="shared" si="8" ref="G28:Q28">SUM(G29:G33)</f>
        <v>0</v>
      </c>
      <c r="H28" s="88">
        <f t="shared" si="8"/>
        <v>0</v>
      </c>
      <c r="I28" s="122">
        <f t="shared" si="8"/>
        <v>0</v>
      </c>
      <c r="J28" s="122">
        <f t="shared" si="8"/>
        <v>0</v>
      </c>
      <c r="K28" s="122">
        <f t="shared" si="8"/>
        <v>0</v>
      </c>
      <c r="L28" s="122">
        <f t="shared" si="8"/>
        <v>0</v>
      </c>
      <c r="M28" s="122">
        <f t="shared" si="8"/>
        <v>0</v>
      </c>
      <c r="N28" s="122">
        <f t="shared" si="8"/>
        <v>0</v>
      </c>
      <c r="O28" s="122">
        <f t="shared" si="8"/>
        <v>0</v>
      </c>
      <c r="P28" s="122">
        <f t="shared" si="8"/>
        <v>0</v>
      </c>
      <c r="Q28" s="122">
        <f t="shared" si="8"/>
        <v>6928</v>
      </c>
      <c r="R28" s="88">
        <f>SUM(R29:R36)</f>
        <v>204584</v>
      </c>
      <c r="S28" s="88">
        <f>SUM(S29:S33)</f>
        <v>0</v>
      </c>
      <c r="T28" s="125">
        <f>SUM(C28:S28)</f>
        <v>477812</v>
      </c>
      <c r="U28" s="185"/>
      <c r="V28" s="185"/>
      <c r="W28" s="195"/>
      <c r="X28" s="201"/>
    </row>
    <row r="29" spans="1:24" ht="15">
      <c r="A29" s="148" t="s">
        <v>184</v>
      </c>
      <c r="B29" s="49" t="s">
        <v>185</v>
      </c>
      <c r="C29" s="139">
        <f>10000+11000-3393+3627+225</f>
        <v>21459</v>
      </c>
      <c r="D29" s="49"/>
      <c r="E29" s="49"/>
      <c r="F29" s="25"/>
      <c r="G29" s="25"/>
      <c r="H29" s="49"/>
      <c r="I29" s="49"/>
      <c r="J29" s="49"/>
      <c r="K29" s="49"/>
      <c r="L29" s="49"/>
      <c r="M29" s="49"/>
      <c r="N29" s="49"/>
      <c r="O29" s="25"/>
      <c r="P29" s="25"/>
      <c r="Q29" s="25"/>
      <c r="R29" s="25"/>
      <c r="S29" s="52"/>
      <c r="T29" s="128">
        <f t="shared" si="5"/>
        <v>21459</v>
      </c>
      <c r="U29" s="185"/>
      <c r="V29" s="185"/>
      <c r="W29" s="195"/>
      <c r="X29" s="201"/>
    </row>
    <row r="30" spans="1:24" ht="30">
      <c r="A30" s="148" t="s">
        <v>294</v>
      </c>
      <c r="B30" s="35" t="s">
        <v>352</v>
      </c>
      <c r="C30" s="25">
        <f>80694+6803</f>
        <v>87497</v>
      </c>
      <c r="D30" s="49"/>
      <c r="E30" s="49"/>
      <c r="F30" s="25"/>
      <c r="G30" s="25"/>
      <c r="H30" s="49"/>
      <c r="I30" s="49"/>
      <c r="J30" s="49"/>
      <c r="K30" s="49"/>
      <c r="L30" s="49"/>
      <c r="M30" s="49"/>
      <c r="N30" s="49"/>
      <c r="O30" s="25"/>
      <c r="P30" s="25"/>
      <c r="Q30" s="25">
        <v>6928</v>
      </c>
      <c r="R30" s="25"/>
      <c r="S30" s="52"/>
      <c r="T30" s="128">
        <f t="shared" si="5"/>
        <v>94425</v>
      </c>
      <c r="U30" s="185"/>
      <c r="V30" s="185"/>
      <c r="W30" s="195"/>
      <c r="X30" s="201"/>
    </row>
    <row r="31" spans="1:24" ht="15">
      <c r="A31" s="148" t="s">
        <v>295</v>
      </c>
      <c r="B31" s="149" t="s">
        <v>281</v>
      </c>
      <c r="C31" s="139">
        <f>5000</f>
        <v>5000</v>
      </c>
      <c r="D31" s="49"/>
      <c r="E31" s="49"/>
      <c r="F31" s="25"/>
      <c r="G31" s="25"/>
      <c r="H31" s="49"/>
      <c r="I31" s="49"/>
      <c r="J31" s="49"/>
      <c r="K31" s="49"/>
      <c r="L31" s="49"/>
      <c r="M31" s="49"/>
      <c r="N31" s="49"/>
      <c r="O31" s="25"/>
      <c r="P31" s="25"/>
      <c r="Q31" s="25"/>
      <c r="R31" s="25">
        <v>5000</v>
      </c>
      <c r="S31" s="52"/>
      <c r="T31" s="128">
        <f t="shared" si="5"/>
        <v>10000</v>
      </c>
      <c r="U31" s="185"/>
      <c r="V31" s="185"/>
      <c r="W31" s="195"/>
      <c r="X31" s="201"/>
    </row>
    <row r="32" spans="1:24" ht="30">
      <c r="A32" s="12" t="s">
        <v>269</v>
      </c>
      <c r="B32" s="3" t="s">
        <v>321</v>
      </c>
      <c r="C32" s="25">
        <v>19200</v>
      </c>
      <c r="D32" s="49"/>
      <c r="E32" s="49"/>
      <c r="F32" s="25"/>
      <c r="G32" s="25"/>
      <c r="H32" s="49"/>
      <c r="I32" s="49"/>
      <c r="J32" s="49"/>
      <c r="K32" s="49"/>
      <c r="L32" s="49"/>
      <c r="M32" s="49"/>
      <c r="N32" s="49"/>
      <c r="O32" s="25"/>
      <c r="P32" s="25"/>
      <c r="Q32" s="25"/>
      <c r="R32" s="25"/>
      <c r="S32" s="52"/>
      <c r="T32" s="128">
        <f t="shared" si="5"/>
        <v>19200</v>
      </c>
      <c r="U32" s="185"/>
      <c r="V32" s="185"/>
      <c r="W32" s="195"/>
      <c r="X32" s="201"/>
    </row>
    <row r="33" spans="1:24" ht="15">
      <c r="A33" s="12" t="s">
        <v>330</v>
      </c>
      <c r="B33" s="3" t="s">
        <v>331</v>
      </c>
      <c r="C33" s="25">
        <f>110000+17723+5421</f>
        <v>133144</v>
      </c>
      <c r="D33" s="49"/>
      <c r="E33" s="49"/>
      <c r="F33" s="25"/>
      <c r="G33" s="25"/>
      <c r="H33" s="49"/>
      <c r="I33" s="49"/>
      <c r="J33" s="49"/>
      <c r="K33" s="49"/>
      <c r="L33" s="49"/>
      <c r="M33" s="49"/>
      <c r="N33" s="49"/>
      <c r="O33" s="25"/>
      <c r="P33" s="25"/>
      <c r="Q33" s="25"/>
      <c r="R33" s="25"/>
      <c r="S33" s="52"/>
      <c r="T33" s="128">
        <f t="shared" si="5"/>
        <v>133144</v>
      </c>
      <c r="U33" s="185"/>
      <c r="V33" s="185"/>
      <c r="W33" s="195"/>
      <c r="X33" s="201"/>
    </row>
    <row r="34" spans="1:24" ht="15">
      <c r="A34" s="279" t="s">
        <v>65</v>
      </c>
      <c r="B34" s="271" t="s">
        <v>617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>
        <v>114575</v>
      </c>
      <c r="S34" s="52"/>
      <c r="T34" s="128">
        <f t="shared" si="5"/>
        <v>114575</v>
      </c>
      <c r="U34" s="185"/>
      <c r="V34" s="185"/>
      <c r="W34" s="195"/>
      <c r="X34" s="201"/>
    </row>
    <row r="35" spans="1:24" ht="15">
      <c r="A35" s="279" t="s">
        <v>65</v>
      </c>
      <c r="B35" s="271" t="s">
        <v>618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>
        <v>59113</v>
      </c>
      <c r="S35" s="52"/>
      <c r="T35" s="128">
        <f t="shared" si="5"/>
        <v>59113</v>
      </c>
      <c r="U35" s="185"/>
      <c r="V35" s="185"/>
      <c r="W35" s="195"/>
      <c r="X35" s="201"/>
    </row>
    <row r="36" spans="1:24" ht="30">
      <c r="A36" s="279" t="s">
        <v>65</v>
      </c>
      <c r="B36" s="271" t="s">
        <v>306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>
        <v>25896</v>
      </c>
      <c r="S36" s="52"/>
      <c r="T36" s="128">
        <f t="shared" si="5"/>
        <v>25896</v>
      </c>
      <c r="U36" s="185"/>
      <c r="V36" s="185"/>
      <c r="W36" s="195"/>
      <c r="X36" s="201"/>
    </row>
    <row r="37" spans="1:24" ht="15">
      <c r="A37" s="127" t="s">
        <v>67</v>
      </c>
      <c r="B37" s="90" t="s">
        <v>186</v>
      </c>
      <c r="C37" s="93">
        <f>SUM(C38:C39)</f>
        <v>537020</v>
      </c>
      <c r="D37" s="93">
        <f>SUM(D38:D39)</f>
        <v>0</v>
      </c>
      <c r="E37" s="93">
        <f>SUM(E38:E39)</f>
        <v>0</v>
      </c>
      <c r="F37" s="93"/>
      <c r="G37" s="93">
        <f aca="true" t="shared" si="9" ref="G37:S37">SUM(G38:G39)</f>
        <v>0</v>
      </c>
      <c r="H37" s="93">
        <f t="shared" si="9"/>
        <v>0</v>
      </c>
      <c r="I37" s="93">
        <f t="shared" si="9"/>
        <v>0</v>
      </c>
      <c r="J37" s="93">
        <f t="shared" si="9"/>
        <v>0</v>
      </c>
      <c r="K37" s="93">
        <f t="shared" si="9"/>
        <v>0</v>
      </c>
      <c r="L37" s="93">
        <f t="shared" si="9"/>
        <v>0</v>
      </c>
      <c r="M37" s="93">
        <f t="shared" si="9"/>
        <v>0</v>
      </c>
      <c r="N37" s="93">
        <f t="shared" si="9"/>
        <v>0</v>
      </c>
      <c r="O37" s="93">
        <f t="shared" si="9"/>
        <v>0</v>
      </c>
      <c r="P37" s="93">
        <f t="shared" si="9"/>
        <v>0</v>
      </c>
      <c r="Q37" s="93">
        <f t="shared" si="9"/>
        <v>0</v>
      </c>
      <c r="R37" s="93">
        <f t="shared" si="9"/>
        <v>0</v>
      </c>
      <c r="S37" s="93">
        <f t="shared" si="9"/>
        <v>0</v>
      </c>
      <c r="T37" s="128">
        <f t="shared" si="5"/>
        <v>537020</v>
      </c>
      <c r="U37" s="185"/>
      <c r="V37" s="185"/>
      <c r="W37" s="195"/>
      <c r="X37" s="201"/>
    </row>
    <row r="38" spans="1:24" ht="47.25">
      <c r="A38" s="148" t="s">
        <v>353</v>
      </c>
      <c r="B38" s="13" t="s">
        <v>354</v>
      </c>
      <c r="C38" s="25">
        <v>24000</v>
      </c>
      <c r="D38" s="33"/>
      <c r="E38" s="33"/>
      <c r="F38" s="93"/>
      <c r="G38" s="93"/>
      <c r="H38" s="17"/>
      <c r="I38" s="17"/>
      <c r="J38" s="17"/>
      <c r="K38" s="17"/>
      <c r="L38" s="17"/>
      <c r="M38" s="17"/>
      <c r="N38" s="17"/>
      <c r="O38" s="52"/>
      <c r="P38" s="52"/>
      <c r="Q38" s="52"/>
      <c r="R38" s="52"/>
      <c r="S38" s="52"/>
      <c r="T38" s="128">
        <f t="shared" si="5"/>
        <v>24000</v>
      </c>
      <c r="U38" s="185"/>
      <c r="V38" s="185"/>
      <c r="W38" s="195"/>
      <c r="X38" s="201"/>
    </row>
    <row r="39" spans="1:24" ht="75">
      <c r="A39" s="148" t="s">
        <v>270</v>
      </c>
      <c r="B39" s="150" t="s">
        <v>392</v>
      </c>
      <c r="C39" s="25">
        <f>512668+352</f>
        <v>513020</v>
      </c>
      <c r="D39" s="33"/>
      <c r="E39" s="33"/>
      <c r="F39" s="93"/>
      <c r="G39" s="93"/>
      <c r="H39" s="17"/>
      <c r="I39" s="17"/>
      <c r="J39" s="17"/>
      <c r="K39" s="17"/>
      <c r="L39" s="17"/>
      <c r="M39" s="17"/>
      <c r="N39" s="17"/>
      <c r="O39" s="52"/>
      <c r="P39" s="52"/>
      <c r="Q39" s="52"/>
      <c r="R39" s="52"/>
      <c r="S39" s="52"/>
      <c r="T39" s="128">
        <f t="shared" si="5"/>
        <v>513020</v>
      </c>
      <c r="U39" s="185"/>
      <c r="V39" s="185"/>
      <c r="W39" s="195"/>
      <c r="X39" s="201"/>
    </row>
    <row r="40" spans="1:24" ht="15">
      <c r="A40" s="120" t="s">
        <v>68</v>
      </c>
      <c r="B40" s="121" t="s">
        <v>69</v>
      </c>
      <c r="C40" s="122"/>
      <c r="D40" s="17"/>
      <c r="E40" s="17"/>
      <c r="F40" s="52"/>
      <c r="G40" s="52"/>
      <c r="H40" s="17"/>
      <c r="I40" s="17"/>
      <c r="J40" s="17"/>
      <c r="K40" s="17"/>
      <c r="L40" s="17">
        <v>400</v>
      </c>
      <c r="M40" s="17"/>
      <c r="N40" s="17"/>
      <c r="O40" s="52"/>
      <c r="P40" s="52"/>
      <c r="Q40" s="52"/>
      <c r="R40" s="52"/>
      <c r="S40" s="52"/>
      <c r="T40" s="128">
        <f t="shared" si="5"/>
        <v>400</v>
      </c>
      <c r="U40" s="185"/>
      <c r="V40" s="185"/>
      <c r="W40" s="195"/>
      <c r="X40" s="201"/>
    </row>
    <row r="41" spans="1:24" ht="15">
      <c r="A41" s="120" t="s">
        <v>296</v>
      </c>
      <c r="B41" s="121" t="s">
        <v>139</v>
      </c>
      <c r="C41" s="122">
        <f>266745+117875</f>
        <v>384620</v>
      </c>
      <c r="D41" s="52"/>
      <c r="E41" s="17"/>
      <c r="F41" s="52"/>
      <c r="G41" s="52"/>
      <c r="H41" s="17"/>
      <c r="I41" s="17"/>
      <c r="J41" s="17"/>
      <c r="K41" s="17"/>
      <c r="L41" s="52"/>
      <c r="M41" s="52"/>
      <c r="N41" s="52"/>
      <c r="O41" s="52"/>
      <c r="P41" s="52">
        <v>27191</v>
      </c>
      <c r="Q41" s="52">
        <v>83623</v>
      </c>
      <c r="R41" s="52">
        <v>120288</v>
      </c>
      <c r="S41" s="52"/>
      <c r="T41" s="128">
        <f t="shared" si="5"/>
        <v>615722</v>
      </c>
      <c r="U41" s="185"/>
      <c r="V41" s="185"/>
      <c r="W41" s="195"/>
      <c r="X41" s="201"/>
    </row>
    <row r="42" spans="1:24" ht="15">
      <c r="A42" s="127" t="s">
        <v>70</v>
      </c>
      <c r="B42" s="90" t="s">
        <v>71</v>
      </c>
      <c r="C42" s="93">
        <f>SUM(C43:C76)</f>
        <v>8579374</v>
      </c>
      <c r="D42" s="93">
        <f>SUM(D43:D76)</f>
        <v>170339</v>
      </c>
      <c r="E42" s="93">
        <f>SUM(E43:E76)</f>
        <v>0</v>
      </c>
      <c r="F42" s="93"/>
      <c r="G42" s="93">
        <f aca="true" t="shared" si="10" ref="G42:R42">SUM(G43:G76)</f>
        <v>0</v>
      </c>
      <c r="H42" s="93">
        <f t="shared" si="10"/>
        <v>158828</v>
      </c>
      <c r="I42" s="93">
        <f t="shared" si="10"/>
        <v>53936</v>
      </c>
      <c r="J42" s="93">
        <f t="shared" si="10"/>
        <v>65608</v>
      </c>
      <c r="K42" s="93">
        <f t="shared" si="10"/>
        <v>291633</v>
      </c>
      <c r="L42" s="93">
        <f t="shared" si="10"/>
        <v>37778</v>
      </c>
      <c r="M42" s="93">
        <f t="shared" si="10"/>
        <v>50439</v>
      </c>
      <c r="N42" s="93">
        <f t="shared" si="10"/>
        <v>32238</v>
      </c>
      <c r="O42" s="93">
        <f t="shared" si="10"/>
        <v>47860</v>
      </c>
      <c r="P42" s="93">
        <f t="shared" si="10"/>
        <v>0</v>
      </c>
      <c r="Q42" s="93">
        <f t="shared" si="10"/>
        <v>3308142</v>
      </c>
      <c r="R42" s="93">
        <f t="shared" si="10"/>
        <v>1532019</v>
      </c>
      <c r="S42" s="93">
        <f>SUM(S43:S67)</f>
        <v>0</v>
      </c>
      <c r="T42" s="128">
        <f t="shared" si="5"/>
        <v>14328194</v>
      </c>
      <c r="U42" s="185"/>
      <c r="V42" s="185"/>
      <c r="W42" s="195"/>
      <c r="X42" s="201"/>
    </row>
    <row r="43" spans="1:24" ht="15">
      <c r="A43" s="151" t="s">
        <v>320</v>
      </c>
      <c r="B43" s="24" t="s">
        <v>72</v>
      </c>
      <c r="C43" s="52">
        <f>1507312-22040</f>
        <v>1485272</v>
      </c>
      <c r="D43" s="17"/>
      <c r="E43" s="17"/>
      <c r="F43" s="52"/>
      <c r="G43" s="52"/>
      <c r="H43" s="17"/>
      <c r="I43" s="17">
        <f>35247-799-1269</f>
        <v>33179</v>
      </c>
      <c r="J43" s="17">
        <v>52750</v>
      </c>
      <c r="K43" s="17">
        <v>68989</v>
      </c>
      <c r="L43" s="17">
        <v>37778</v>
      </c>
      <c r="M43" s="17">
        <v>50439</v>
      </c>
      <c r="N43" s="219">
        <v>32238</v>
      </c>
      <c r="O43" s="52"/>
      <c r="P43" s="36"/>
      <c r="Q43" s="36">
        <f>689681+2874-20000</f>
        <v>672555</v>
      </c>
      <c r="R43" s="52">
        <v>1532019</v>
      </c>
      <c r="S43" s="52"/>
      <c r="T43" s="128">
        <f t="shared" si="5"/>
        <v>3965219</v>
      </c>
      <c r="U43" s="185"/>
      <c r="V43" s="185"/>
      <c r="W43" s="195"/>
      <c r="X43" s="201"/>
    </row>
    <row r="44" spans="1:24" ht="15">
      <c r="A44" s="51" t="s">
        <v>187</v>
      </c>
      <c r="B44" s="152" t="s">
        <v>188</v>
      </c>
      <c r="C44" s="52"/>
      <c r="D44" s="17">
        <f>119966+50373</f>
        <v>170339</v>
      </c>
      <c r="E44" s="17"/>
      <c r="F44" s="52"/>
      <c r="G44" s="52"/>
      <c r="H44" s="17">
        <f>157991+837</f>
        <v>158828</v>
      </c>
      <c r="I44" s="17">
        <v>20757</v>
      </c>
      <c r="J44" s="17">
        <v>12858</v>
      </c>
      <c r="K44" s="17">
        <v>64159</v>
      </c>
      <c r="L44" s="17"/>
      <c r="M44" s="17"/>
      <c r="N44" s="17"/>
      <c r="O44" s="56">
        <v>47860</v>
      </c>
      <c r="P44" s="17"/>
      <c r="Q44" s="17"/>
      <c r="R44" s="56"/>
      <c r="S44" s="52"/>
      <c r="T44" s="128">
        <f t="shared" si="5"/>
        <v>474801</v>
      </c>
      <c r="U44" s="185"/>
      <c r="V44" s="185"/>
      <c r="W44" s="195"/>
      <c r="X44" s="201"/>
    </row>
    <row r="45" spans="1:24" ht="15">
      <c r="A45" s="51" t="s">
        <v>447</v>
      </c>
      <c r="B45" s="152" t="s">
        <v>448</v>
      </c>
      <c r="C45" s="52">
        <f>319720-112127</f>
        <v>207593</v>
      </c>
      <c r="D45" s="17"/>
      <c r="E45" s="17"/>
      <c r="F45" s="52"/>
      <c r="G45" s="52"/>
      <c r="H45" s="17"/>
      <c r="I45" s="17"/>
      <c r="J45" s="17"/>
      <c r="K45" s="52"/>
      <c r="L45" s="52"/>
      <c r="M45" s="52"/>
      <c r="N45" s="17"/>
      <c r="O45" s="56"/>
      <c r="P45" s="17"/>
      <c r="Q45" s="17"/>
      <c r="R45" s="56"/>
      <c r="S45" s="52"/>
      <c r="T45" s="128">
        <f t="shared" si="5"/>
        <v>207593</v>
      </c>
      <c r="U45" s="185"/>
      <c r="V45" s="185"/>
      <c r="W45" s="195"/>
      <c r="X45" s="201"/>
    </row>
    <row r="46" spans="1:24" ht="15.75">
      <c r="A46" s="11" t="s">
        <v>355</v>
      </c>
      <c r="B46" s="14" t="s">
        <v>356</v>
      </c>
      <c r="C46" s="52">
        <f>187586+40819</f>
        <v>228405</v>
      </c>
      <c r="D46" s="17"/>
      <c r="E46" s="17"/>
      <c r="F46" s="52"/>
      <c r="G46" s="52"/>
      <c r="H46" s="17"/>
      <c r="I46" s="17"/>
      <c r="J46" s="17"/>
      <c r="K46" s="52"/>
      <c r="L46" s="52"/>
      <c r="M46" s="52"/>
      <c r="N46" s="52"/>
      <c r="O46" s="52"/>
      <c r="P46" s="52"/>
      <c r="Q46" s="52"/>
      <c r="R46" s="52"/>
      <c r="S46" s="52"/>
      <c r="T46" s="128">
        <f t="shared" si="5"/>
        <v>228405</v>
      </c>
      <c r="U46" s="185"/>
      <c r="V46" s="185"/>
      <c r="W46" s="195"/>
      <c r="X46" s="201"/>
    </row>
    <row r="47" spans="1:24" ht="63">
      <c r="A47" s="11" t="s">
        <v>393</v>
      </c>
      <c r="B47" s="14" t="s">
        <v>466</v>
      </c>
      <c r="C47" s="52">
        <f>918513+228086</f>
        <v>1146599</v>
      </c>
      <c r="D47" s="17"/>
      <c r="E47" s="17"/>
      <c r="F47" s="52"/>
      <c r="G47" s="52"/>
      <c r="H47" s="17"/>
      <c r="I47" s="17"/>
      <c r="J47" s="17"/>
      <c r="K47" s="52"/>
      <c r="L47" s="52"/>
      <c r="M47" s="52"/>
      <c r="N47" s="52"/>
      <c r="O47" s="52"/>
      <c r="P47" s="52"/>
      <c r="Q47" s="52"/>
      <c r="R47" s="52"/>
      <c r="S47" s="52"/>
      <c r="T47" s="128">
        <f t="shared" si="5"/>
        <v>1146599</v>
      </c>
      <c r="U47" s="185"/>
      <c r="V47" s="185"/>
      <c r="W47" s="195"/>
      <c r="X47" s="201"/>
    </row>
    <row r="48" spans="1:24" ht="15.75">
      <c r="A48" s="11" t="s">
        <v>394</v>
      </c>
      <c r="B48" s="14" t="s">
        <v>459</v>
      </c>
      <c r="C48" s="52">
        <v>46402</v>
      </c>
      <c r="D48" s="17"/>
      <c r="E48" s="17"/>
      <c r="F48" s="52"/>
      <c r="G48" s="52"/>
      <c r="H48" s="17"/>
      <c r="I48" s="17"/>
      <c r="J48" s="17"/>
      <c r="K48" s="52"/>
      <c r="L48" s="52"/>
      <c r="M48" s="52"/>
      <c r="N48" s="52"/>
      <c r="O48" s="52"/>
      <c r="P48" s="52"/>
      <c r="Q48" s="52"/>
      <c r="R48" s="52"/>
      <c r="S48" s="52"/>
      <c r="T48" s="128">
        <f t="shared" si="5"/>
        <v>46402</v>
      </c>
      <c r="U48" s="185"/>
      <c r="V48" s="185"/>
      <c r="W48" s="195"/>
      <c r="X48" s="201"/>
    </row>
    <row r="49" spans="1:24" ht="47.25">
      <c r="A49" s="11" t="s">
        <v>395</v>
      </c>
      <c r="B49" s="13" t="s">
        <v>489</v>
      </c>
      <c r="C49" s="52">
        <f>771427+13500-116057</f>
        <v>668870</v>
      </c>
      <c r="D49" s="17"/>
      <c r="E49" s="17"/>
      <c r="F49" s="52"/>
      <c r="G49" s="52"/>
      <c r="H49" s="17"/>
      <c r="I49" s="17"/>
      <c r="J49" s="17"/>
      <c r="K49" s="52"/>
      <c r="L49" s="52"/>
      <c r="M49" s="52"/>
      <c r="N49" s="52"/>
      <c r="O49" s="52"/>
      <c r="P49" s="52"/>
      <c r="Q49" s="52"/>
      <c r="R49" s="52"/>
      <c r="S49" s="52"/>
      <c r="T49" s="128">
        <f t="shared" si="5"/>
        <v>668870</v>
      </c>
      <c r="U49" s="185"/>
      <c r="V49" s="185"/>
      <c r="W49" s="195"/>
      <c r="X49" s="201"/>
    </row>
    <row r="50" spans="1:24" ht="15">
      <c r="A50" s="11" t="s">
        <v>449</v>
      </c>
      <c r="B50" s="225" t="s">
        <v>450</v>
      </c>
      <c r="C50" s="52">
        <f>460792+19740</f>
        <v>480532</v>
      </c>
      <c r="D50" s="17"/>
      <c r="E50" s="17"/>
      <c r="F50" s="52"/>
      <c r="G50" s="52"/>
      <c r="H50" s="17"/>
      <c r="I50" s="17"/>
      <c r="J50" s="17"/>
      <c r="K50" s="52"/>
      <c r="L50" s="52"/>
      <c r="M50" s="52"/>
      <c r="N50" s="52"/>
      <c r="O50" s="52"/>
      <c r="P50" s="52"/>
      <c r="Q50" s="52"/>
      <c r="R50" s="52"/>
      <c r="S50" s="52"/>
      <c r="T50" s="128">
        <f t="shared" si="5"/>
        <v>480532</v>
      </c>
      <c r="U50" s="185"/>
      <c r="V50" s="185"/>
      <c r="W50" s="195"/>
      <c r="X50" s="201"/>
    </row>
    <row r="51" spans="1:24" ht="15">
      <c r="A51" s="11" t="s">
        <v>451</v>
      </c>
      <c r="B51" s="225" t="s">
        <v>454</v>
      </c>
      <c r="C51" s="52">
        <v>85400</v>
      </c>
      <c r="D51" s="17"/>
      <c r="E51" s="17"/>
      <c r="F51" s="52"/>
      <c r="G51" s="52"/>
      <c r="H51" s="17"/>
      <c r="I51" s="17"/>
      <c r="J51" s="17"/>
      <c r="K51" s="52"/>
      <c r="L51" s="52"/>
      <c r="M51" s="52"/>
      <c r="N51" s="52"/>
      <c r="O51" s="52"/>
      <c r="P51" s="52"/>
      <c r="Q51" s="52"/>
      <c r="R51" s="52"/>
      <c r="S51" s="52"/>
      <c r="T51" s="128">
        <f t="shared" si="5"/>
        <v>85400</v>
      </c>
      <c r="U51" s="185"/>
      <c r="V51" s="185"/>
      <c r="W51" s="195"/>
      <c r="X51" s="201"/>
    </row>
    <row r="52" spans="1:24" ht="15">
      <c r="A52" s="11" t="s">
        <v>452</v>
      </c>
      <c r="B52" s="225" t="s">
        <v>455</v>
      </c>
      <c r="C52" s="52">
        <v>29354</v>
      </c>
      <c r="D52" s="17"/>
      <c r="E52" s="17"/>
      <c r="F52" s="52"/>
      <c r="G52" s="52"/>
      <c r="H52" s="17"/>
      <c r="I52" s="17"/>
      <c r="J52" s="17"/>
      <c r="K52" s="52"/>
      <c r="L52" s="52"/>
      <c r="M52" s="52"/>
      <c r="N52" s="52"/>
      <c r="O52" s="52"/>
      <c r="P52" s="52"/>
      <c r="Q52" s="52"/>
      <c r="R52" s="52"/>
      <c r="S52" s="52"/>
      <c r="T52" s="128">
        <f t="shared" si="5"/>
        <v>29354</v>
      </c>
      <c r="U52" s="185"/>
      <c r="V52" s="185"/>
      <c r="W52" s="195"/>
      <c r="X52" s="201"/>
    </row>
    <row r="53" spans="1:24" ht="45">
      <c r="A53" s="11" t="s">
        <v>453</v>
      </c>
      <c r="B53" s="225" t="s">
        <v>456</v>
      </c>
      <c r="C53" s="52">
        <v>619622</v>
      </c>
      <c r="D53" s="17"/>
      <c r="E53" s="17"/>
      <c r="F53" s="52"/>
      <c r="G53" s="52"/>
      <c r="H53" s="17"/>
      <c r="I53" s="17"/>
      <c r="J53" s="17"/>
      <c r="K53" s="52"/>
      <c r="L53" s="52"/>
      <c r="M53" s="52"/>
      <c r="N53" s="52"/>
      <c r="O53" s="52"/>
      <c r="P53" s="52"/>
      <c r="Q53" s="52"/>
      <c r="R53" s="52"/>
      <c r="S53" s="52"/>
      <c r="T53" s="128">
        <f t="shared" si="5"/>
        <v>619622</v>
      </c>
      <c r="U53" s="185"/>
      <c r="V53" s="185"/>
      <c r="W53" s="195"/>
      <c r="X53" s="201"/>
    </row>
    <row r="54" spans="1:24" ht="15">
      <c r="A54" s="11" t="s">
        <v>457</v>
      </c>
      <c r="B54" s="18" t="s">
        <v>458</v>
      </c>
      <c r="C54" s="52">
        <v>2613</v>
      </c>
      <c r="D54" s="17"/>
      <c r="E54" s="17"/>
      <c r="F54" s="52"/>
      <c r="G54" s="52"/>
      <c r="H54" s="17"/>
      <c r="I54" s="17"/>
      <c r="J54" s="17"/>
      <c r="K54" s="52"/>
      <c r="L54" s="52"/>
      <c r="M54" s="52"/>
      <c r="N54" s="52"/>
      <c r="O54" s="52"/>
      <c r="P54" s="52"/>
      <c r="Q54" s="52"/>
      <c r="R54" s="52"/>
      <c r="S54" s="52"/>
      <c r="T54" s="128">
        <f t="shared" si="5"/>
        <v>2613</v>
      </c>
      <c r="U54" s="185"/>
      <c r="V54" s="185"/>
      <c r="W54" s="195"/>
      <c r="X54" s="201"/>
    </row>
    <row r="55" spans="1:24" ht="15.75">
      <c r="A55" s="11" t="s">
        <v>463</v>
      </c>
      <c r="B55" s="221" t="s">
        <v>464</v>
      </c>
      <c r="C55" s="52"/>
      <c r="D55" s="17"/>
      <c r="E55" s="17"/>
      <c r="F55" s="52"/>
      <c r="G55" s="52"/>
      <c r="H55" s="17"/>
      <c r="I55" s="17"/>
      <c r="J55" s="17"/>
      <c r="K55" s="52">
        <v>157595</v>
      </c>
      <c r="L55" s="52"/>
      <c r="M55" s="52"/>
      <c r="N55" s="52"/>
      <c r="O55" s="52"/>
      <c r="P55" s="52"/>
      <c r="Q55" s="52"/>
      <c r="R55" s="52"/>
      <c r="S55" s="52"/>
      <c r="T55" s="128">
        <f t="shared" si="5"/>
        <v>157595</v>
      </c>
      <c r="U55" s="185"/>
      <c r="V55" s="185"/>
      <c r="W55" s="195"/>
      <c r="X55" s="201"/>
    </row>
    <row r="56" spans="1:24" ht="34.5" customHeight="1">
      <c r="A56" s="11" t="s">
        <v>490</v>
      </c>
      <c r="B56" s="4" t="s">
        <v>491</v>
      </c>
      <c r="C56" s="52">
        <f>345535-35856</f>
        <v>309679</v>
      </c>
      <c r="D56" s="17"/>
      <c r="E56" s="17"/>
      <c r="F56" s="52"/>
      <c r="G56" s="52"/>
      <c r="H56" s="17"/>
      <c r="I56" s="17"/>
      <c r="J56" s="17"/>
      <c r="K56" s="52"/>
      <c r="L56" s="52"/>
      <c r="M56" s="52"/>
      <c r="N56" s="52"/>
      <c r="O56" s="52"/>
      <c r="P56" s="52"/>
      <c r="Q56" s="52"/>
      <c r="R56" s="52"/>
      <c r="S56" s="52"/>
      <c r="T56" s="128">
        <f t="shared" si="5"/>
        <v>309679</v>
      </c>
      <c r="U56" s="185"/>
      <c r="V56" s="185"/>
      <c r="W56" s="195"/>
      <c r="X56" s="201"/>
    </row>
    <row r="57" spans="1:24" ht="15">
      <c r="A57" s="11" t="s">
        <v>492</v>
      </c>
      <c r="B57" s="4" t="s">
        <v>493</v>
      </c>
      <c r="C57" s="52">
        <f>1343000-607041</f>
        <v>735959</v>
      </c>
      <c r="D57" s="17"/>
      <c r="E57" s="17"/>
      <c r="F57" s="52"/>
      <c r="G57" s="52"/>
      <c r="H57" s="17"/>
      <c r="I57" s="17"/>
      <c r="J57" s="17"/>
      <c r="K57" s="52"/>
      <c r="L57" s="52"/>
      <c r="M57" s="52"/>
      <c r="N57" s="52"/>
      <c r="O57" s="52"/>
      <c r="P57" s="52"/>
      <c r="Q57" s="52"/>
      <c r="R57" s="52"/>
      <c r="S57" s="52"/>
      <c r="T57" s="128">
        <f t="shared" si="5"/>
        <v>735959</v>
      </c>
      <c r="U57" s="185"/>
      <c r="V57" s="185"/>
      <c r="W57" s="195"/>
      <c r="X57" s="201"/>
    </row>
    <row r="58" spans="1:24" ht="30">
      <c r="A58" s="11" t="s">
        <v>494</v>
      </c>
      <c r="B58" s="4" t="s">
        <v>495</v>
      </c>
      <c r="C58" s="52">
        <f>276409-66043</f>
        <v>210366</v>
      </c>
      <c r="D58" s="17"/>
      <c r="E58" s="17"/>
      <c r="F58" s="52"/>
      <c r="G58" s="52"/>
      <c r="H58" s="17"/>
      <c r="I58" s="17"/>
      <c r="J58" s="17"/>
      <c r="K58" s="52"/>
      <c r="L58" s="52"/>
      <c r="M58" s="52"/>
      <c r="N58" s="52"/>
      <c r="O58" s="52"/>
      <c r="P58" s="52"/>
      <c r="Q58" s="52"/>
      <c r="R58" s="52"/>
      <c r="S58" s="52"/>
      <c r="T58" s="128">
        <f t="shared" si="5"/>
        <v>210366</v>
      </c>
      <c r="U58" s="185"/>
      <c r="V58" s="185"/>
      <c r="W58" s="195"/>
      <c r="X58" s="201"/>
    </row>
    <row r="59" spans="1:24" ht="30">
      <c r="A59" s="11" t="s">
        <v>496</v>
      </c>
      <c r="B59" s="4" t="s">
        <v>497</v>
      </c>
      <c r="C59" s="52">
        <f>471547-50622-8933</f>
        <v>411992</v>
      </c>
      <c r="D59" s="17"/>
      <c r="E59" s="17"/>
      <c r="F59" s="52"/>
      <c r="G59" s="52"/>
      <c r="H59" s="17"/>
      <c r="I59" s="17"/>
      <c r="J59" s="17"/>
      <c r="K59" s="52"/>
      <c r="L59" s="52"/>
      <c r="M59" s="52"/>
      <c r="N59" s="52"/>
      <c r="O59" s="52"/>
      <c r="P59" s="52"/>
      <c r="Q59" s="52"/>
      <c r="R59" s="52"/>
      <c r="S59" s="52"/>
      <c r="T59" s="128">
        <f t="shared" si="5"/>
        <v>411992</v>
      </c>
      <c r="U59" s="185"/>
      <c r="V59" s="185"/>
      <c r="W59" s="195"/>
      <c r="X59" s="201"/>
    </row>
    <row r="60" spans="1:24" ht="15">
      <c r="A60" s="11" t="s">
        <v>498</v>
      </c>
      <c r="B60" s="4" t="s">
        <v>499</v>
      </c>
      <c r="C60" s="52">
        <f>968200-810319</f>
        <v>157881</v>
      </c>
      <c r="D60" s="17"/>
      <c r="E60" s="17"/>
      <c r="F60" s="52"/>
      <c r="G60" s="52"/>
      <c r="H60" s="17"/>
      <c r="I60" s="17"/>
      <c r="J60" s="17"/>
      <c r="K60" s="52"/>
      <c r="L60" s="52"/>
      <c r="M60" s="52"/>
      <c r="N60" s="52"/>
      <c r="O60" s="52"/>
      <c r="P60" s="52"/>
      <c r="Q60" s="52"/>
      <c r="R60" s="52"/>
      <c r="S60" s="52"/>
      <c r="T60" s="128">
        <f t="shared" si="5"/>
        <v>157881</v>
      </c>
      <c r="U60" s="185"/>
      <c r="V60" s="185"/>
      <c r="W60" s="195"/>
      <c r="X60" s="201"/>
    </row>
    <row r="61" spans="1:24" ht="15">
      <c r="A61" s="11" t="s">
        <v>500</v>
      </c>
      <c r="B61" s="4" t="s">
        <v>501</v>
      </c>
      <c r="C61" s="52">
        <f>159140-53198</f>
        <v>105942</v>
      </c>
      <c r="D61" s="17"/>
      <c r="E61" s="17"/>
      <c r="F61" s="52"/>
      <c r="G61" s="52"/>
      <c r="H61" s="17"/>
      <c r="I61" s="17"/>
      <c r="J61" s="17"/>
      <c r="K61" s="52"/>
      <c r="L61" s="52"/>
      <c r="M61" s="52"/>
      <c r="N61" s="52"/>
      <c r="O61" s="52"/>
      <c r="P61" s="52"/>
      <c r="Q61" s="52"/>
      <c r="R61" s="52"/>
      <c r="S61" s="52"/>
      <c r="T61" s="128">
        <f t="shared" si="5"/>
        <v>105942</v>
      </c>
      <c r="U61" s="185"/>
      <c r="V61" s="185"/>
      <c r="W61" s="195"/>
      <c r="X61" s="201"/>
    </row>
    <row r="62" spans="1:24" ht="15">
      <c r="A62" s="11" t="s">
        <v>502</v>
      </c>
      <c r="B62" s="4" t="s">
        <v>503</v>
      </c>
      <c r="C62" s="52">
        <f>214800-73617</f>
        <v>141183</v>
      </c>
      <c r="D62" s="17"/>
      <c r="E62" s="17"/>
      <c r="F62" s="52"/>
      <c r="G62" s="52"/>
      <c r="H62" s="17"/>
      <c r="I62" s="17"/>
      <c r="J62" s="17"/>
      <c r="K62" s="52"/>
      <c r="L62" s="52"/>
      <c r="M62" s="52"/>
      <c r="N62" s="52"/>
      <c r="O62" s="52"/>
      <c r="P62" s="52"/>
      <c r="Q62" s="52"/>
      <c r="R62" s="52"/>
      <c r="S62" s="52"/>
      <c r="T62" s="128">
        <f t="shared" si="5"/>
        <v>141183</v>
      </c>
      <c r="U62" s="185"/>
      <c r="V62" s="185"/>
      <c r="W62" s="195"/>
      <c r="X62" s="201"/>
    </row>
    <row r="63" spans="1:24" ht="15">
      <c r="A63" s="11" t="s">
        <v>504</v>
      </c>
      <c r="B63" s="4" t="s">
        <v>505</v>
      </c>
      <c r="C63" s="52">
        <f>221430-2954</f>
        <v>218476</v>
      </c>
      <c r="D63" s="17"/>
      <c r="E63" s="17"/>
      <c r="F63" s="52"/>
      <c r="G63" s="52"/>
      <c r="H63" s="17"/>
      <c r="I63" s="17"/>
      <c r="J63" s="17"/>
      <c r="K63" s="52"/>
      <c r="L63" s="52"/>
      <c r="M63" s="52"/>
      <c r="N63" s="52"/>
      <c r="O63" s="52"/>
      <c r="P63" s="52"/>
      <c r="Q63" s="52"/>
      <c r="R63" s="52"/>
      <c r="S63" s="52"/>
      <c r="T63" s="128">
        <f t="shared" si="5"/>
        <v>218476</v>
      </c>
      <c r="U63" s="185"/>
      <c r="V63" s="185"/>
      <c r="W63" s="195"/>
      <c r="X63" s="201"/>
    </row>
    <row r="64" spans="1:24" ht="15">
      <c r="A64" s="11" t="s">
        <v>506</v>
      </c>
      <c r="B64" s="4" t="s">
        <v>507</v>
      </c>
      <c r="C64" s="52">
        <f>245800+141240</f>
        <v>387040</v>
      </c>
      <c r="D64" s="17"/>
      <c r="E64" s="17"/>
      <c r="F64" s="52"/>
      <c r="G64" s="52"/>
      <c r="H64" s="17"/>
      <c r="I64" s="17"/>
      <c r="J64" s="17"/>
      <c r="K64" s="52"/>
      <c r="L64" s="52"/>
      <c r="M64" s="52"/>
      <c r="N64" s="52"/>
      <c r="O64" s="52"/>
      <c r="P64" s="52"/>
      <c r="Q64" s="52"/>
      <c r="R64" s="52"/>
      <c r="S64" s="52"/>
      <c r="T64" s="128">
        <f t="shared" si="5"/>
        <v>387040</v>
      </c>
      <c r="U64" s="185"/>
      <c r="V64" s="185"/>
      <c r="W64" s="195"/>
      <c r="X64" s="201"/>
    </row>
    <row r="65" spans="1:24" ht="30">
      <c r="A65" s="11" t="s">
        <v>508</v>
      </c>
      <c r="B65" s="4" t="s">
        <v>509</v>
      </c>
      <c r="C65" s="52">
        <f>146000+31727</f>
        <v>177727</v>
      </c>
      <c r="D65" s="17"/>
      <c r="E65" s="17"/>
      <c r="F65" s="52"/>
      <c r="G65" s="52"/>
      <c r="H65" s="17"/>
      <c r="I65" s="17"/>
      <c r="J65" s="17"/>
      <c r="K65" s="52"/>
      <c r="L65" s="52"/>
      <c r="M65" s="52"/>
      <c r="N65" s="52"/>
      <c r="O65" s="52"/>
      <c r="P65" s="52"/>
      <c r="Q65" s="52"/>
      <c r="R65" s="52"/>
      <c r="S65" s="52"/>
      <c r="T65" s="128">
        <f t="shared" si="5"/>
        <v>177727</v>
      </c>
      <c r="U65" s="185"/>
      <c r="V65" s="185"/>
      <c r="W65" s="195"/>
      <c r="X65" s="201"/>
    </row>
    <row r="66" spans="1:24" ht="15">
      <c r="A66" s="11" t="s">
        <v>510</v>
      </c>
      <c r="B66" s="4" t="s">
        <v>511</v>
      </c>
      <c r="C66" s="52">
        <f>120000+3469</f>
        <v>123469</v>
      </c>
      <c r="D66" s="17"/>
      <c r="E66" s="17"/>
      <c r="F66" s="52"/>
      <c r="G66" s="52"/>
      <c r="H66" s="17"/>
      <c r="I66" s="17"/>
      <c r="J66" s="17"/>
      <c r="K66" s="52"/>
      <c r="L66" s="52"/>
      <c r="M66" s="52"/>
      <c r="N66" s="52"/>
      <c r="O66" s="52"/>
      <c r="P66" s="52"/>
      <c r="Q66" s="52"/>
      <c r="R66" s="52"/>
      <c r="S66" s="52"/>
      <c r="T66" s="128">
        <f t="shared" si="5"/>
        <v>123469</v>
      </c>
      <c r="U66" s="185"/>
      <c r="V66" s="185"/>
      <c r="W66" s="195"/>
      <c r="X66" s="201"/>
    </row>
    <row r="67" spans="1:24" ht="15">
      <c r="A67" s="11" t="s">
        <v>512</v>
      </c>
      <c r="B67" s="4" t="s">
        <v>513</v>
      </c>
      <c r="C67" s="52">
        <f>134000+7393</f>
        <v>141393</v>
      </c>
      <c r="D67" s="17"/>
      <c r="E67" s="17"/>
      <c r="F67" s="52"/>
      <c r="G67" s="52"/>
      <c r="H67" s="17"/>
      <c r="I67" s="17"/>
      <c r="J67" s="17"/>
      <c r="K67" s="52"/>
      <c r="L67" s="52"/>
      <c r="M67" s="52"/>
      <c r="N67" s="52"/>
      <c r="O67" s="52"/>
      <c r="P67" s="52"/>
      <c r="Q67" s="52"/>
      <c r="R67" s="52"/>
      <c r="S67" s="52"/>
      <c r="T67" s="128">
        <f t="shared" si="5"/>
        <v>141393</v>
      </c>
      <c r="U67" s="185"/>
      <c r="V67" s="185"/>
      <c r="W67" s="195"/>
      <c r="X67" s="201"/>
    </row>
    <row r="68" spans="1:24" ht="30" customHeight="1">
      <c r="A68" s="11" t="s">
        <v>662</v>
      </c>
      <c r="B68" s="4" t="s">
        <v>665</v>
      </c>
      <c r="C68" s="52">
        <f>58987</f>
        <v>58987</v>
      </c>
      <c r="D68" s="17"/>
      <c r="E68" s="17"/>
      <c r="F68" s="52"/>
      <c r="G68" s="52"/>
      <c r="H68" s="17"/>
      <c r="I68" s="17"/>
      <c r="J68" s="17"/>
      <c r="K68" s="52"/>
      <c r="L68" s="52"/>
      <c r="M68" s="52"/>
      <c r="N68" s="52"/>
      <c r="O68" s="52"/>
      <c r="P68" s="52"/>
      <c r="Q68" s="52"/>
      <c r="R68" s="52"/>
      <c r="S68" s="52"/>
      <c r="T68" s="128">
        <f t="shared" si="5"/>
        <v>58987</v>
      </c>
      <c r="U68" s="185"/>
      <c r="V68" s="185"/>
      <c r="W68" s="195"/>
      <c r="X68" s="201"/>
    </row>
    <row r="69" spans="1:24" ht="30" customHeight="1">
      <c r="A69" s="11" t="s">
        <v>663</v>
      </c>
      <c r="B69" s="4" t="s">
        <v>666</v>
      </c>
      <c r="C69" s="52">
        <f>74699</f>
        <v>74699</v>
      </c>
      <c r="D69" s="17"/>
      <c r="E69" s="17"/>
      <c r="F69" s="52"/>
      <c r="G69" s="52"/>
      <c r="H69" s="17"/>
      <c r="I69" s="17"/>
      <c r="J69" s="17"/>
      <c r="K69" s="52"/>
      <c r="L69" s="52"/>
      <c r="M69" s="52"/>
      <c r="N69" s="52"/>
      <c r="O69" s="52"/>
      <c r="P69" s="52"/>
      <c r="Q69" s="52"/>
      <c r="R69" s="52"/>
      <c r="S69" s="52"/>
      <c r="T69" s="128">
        <f t="shared" si="5"/>
        <v>74699</v>
      </c>
      <c r="U69" s="185"/>
      <c r="V69" s="185"/>
      <c r="W69" s="195"/>
      <c r="X69" s="201"/>
    </row>
    <row r="70" spans="1:24" ht="30" customHeight="1">
      <c r="A70" s="11" t="s">
        <v>664</v>
      </c>
      <c r="B70" s="4" t="s">
        <v>667</v>
      </c>
      <c r="C70" s="52">
        <f>53919</f>
        <v>53919</v>
      </c>
      <c r="D70" s="17"/>
      <c r="E70" s="17"/>
      <c r="F70" s="52"/>
      <c r="G70" s="52"/>
      <c r="H70" s="17"/>
      <c r="I70" s="17"/>
      <c r="J70" s="17"/>
      <c r="K70" s="52"/>
      <c r="L70" s="52"/>
      <c r="M70" s="52"/>
      <c r="N70" s="52"/>
      <c r="O70" s="52"/>
      <c r="P70" s="52"/>
      <c r="Q70" s="52"/>
      <c r="R70" s="52"/>
      <c r="S70" s="52"/>
      <c r="T70" s="128">
        <f t="shared" si="5"/>
        <v>53919</v>
      </c>
      <c r="U70" s="185"/>
      <c r="V70" s="185"/>
      <c r="W70" s="195"/>
      <c r="X70" s="201"/>
    </row>
    <row r="71" spans="1:24" ht="30" customHeight="1">
      <c r="A71" s="11" t="s">
        <v>679</v>
      </c>
      <c r="B71" s="4" t="s">
        <v>680</v>
      </c>
      <c r="C71" s="52"/>
      <c r="D71" s="17"/>
      <c r="E71" s="17"/>
      <c r="F71" s="52"/>
      <c r="G71" s="52"/>
      <c r="H71" s="17"/>
      <c r="I71" s="17"/>
      <c r="J71" s="17"/>
      <c r="K71" s="52">
        <v>890</v>
      </c>
      <c r="L71" s="52"/>
      <c r="M71" s="52"/>
      <c r="N71" s="52"/>
      <c r="O71" s="52"/>
      <c r="P71" s="52"/>
      <c r="Q71" s="52"/>
      <c r="R71" s="52"/>
      <c r="S71" s="52"/>
      <c r="T71" s="128">
        <f t="shared" si="5"/>
        <v>890</v>
      </c>
      <c r="U71" s="185"/>
      <c r="V71" s="185"/>
      <c r="W71" s="195"/>
      <c r="X71" s="201"/>
    </row>
    <row r="72" spans="1:24" ht="30" customHeight="1">
      <c r="A72" s="11" t="s">
        <v>681</v>
      </c>
      <c r="B72" s="4" t="s">
        <v>678</v>
      </c>
      <c r="C72" s="52">
        <v>270000</v>
      </c>
      <c r="D72" s="17"/>
      <c r="E72" s="17"/>
      <c r="F72" s="52"/>
      <c r="G72" s="52"/>
      <c r="H72" s="17"/>
      <c r="I72" s="17"/>
      <c r="J72" s="17"/>
      <c r="K72" s="52"/>
      <c r="L72" s="52"/>
      <c r="M72" s="52"/>
      <c r="N72" s="52"/>
      <c r="O72" s="52"/>
      <c r="P72" s="52"/>
      <c r="Q72" s="52"/>
      <c r="R72" s="52"/>
      <c r="S72" s="52"/>
      <c r="T72" s="128">
        <f t="shared" si="5"/>
        <v>270000</v>
      </c>
      <c r="U72" s="185"/>
      <c r="V72" s="185"/>
      <c r="W72" s="195"/>
      <c r="X72" s="201"/>
    </row>
    <row r="73" spans="1:24" ht="30" customHeight="1">
      <c r="A73" s="272" t="s">
        <v>70</v>
      </c>
      <c r="B73" s="246" t="s">
        <v>566</v>
      </c>
      <c r="C73" s="52"/>
      <c r="D73" s="17"/>
      <c r="E73" s="17"/>
      <c r="F73" s="52"/>
      <c r="G73" s="52"/>
      <c r="H73" s="17"/>
      <c r="I73" s="17"/>
      <c r="J73" s="17"/>
      <c r="K73" s="52"/>
      <c r="L73" s="52"/>
      <c r="M73" s="52"/>
      <c r="N73" s="52"/>
      <c r="O73" s="52"/>
      <c r="P73" s="52"/>
      <c r="Q73" s="52">
        <v>223315</v>
      </c>
      <c r="R73" s="52"/>
      <c r="S73" s="52"/>
      <c r="T73" s="128">
        <f t="shared" si="5"/>
        <v>223315</v>
      </c>
      <c r="U73" s="185"/>
      <c r="V73" s="185"/>
      <c r="W73" s="195"/>
      <c r="X73" s="201"/>
    </row>
    <row r="74" spans="1:24" ht="30" customHeight="1">
      <c r="A74" s="272" t="s">
        <v>70</v>
      </c>
      <c r="B74" s="247" t="s">
        <v>567</v>
      </c>
      <c r="C74" s="52"/>
      <c r="D74" s="17"/>
      <c r="E74" s="17"/>
      <c r="F74" s="52"/>
      <c r="G74" s="52"/>
      <c r="H74" s="17"/>
      <c r="I74" s="17"/>
      <c r="J74" s="17"/>
      <c r="K74" s="52"/>
      <c r="L74" s="52"/>
      <c r="M74" s="52"/>
      <c r="N74" s="52"/>
      <c r="O74" s="52"/>
      <c r="P74" s="52"/>
      <c r="Q74" s="52">
        <v>729099</v>
      </c>
      <c r="R74" s="52"/>
      <c r="S74" s="52"/>
      <c r="T74" s="128">
        <f t="shared" si="5"/>
        <v>729099</v>
      </c>
      <c r="U74" s="185"/>
      <c r="V74" s="185"/>
      <c r="W74" s="195"/>
      <c r="X74" s="201"/>
    </row>
    <row r="75" spans="1:24" ht="30" customHeight="1">
      <c r="A75" s="272" t="s">
        <v>70</v>
      </c>
      <c r="B75" s="247" t="s">
        <v>568</v>
      </c>
      <c r="C75" s="52"/>
      <c r="D75" s="17"/>
      <c r="E75" s="17"/>
      <c r="F75" s="52"/>
      <c r="G75" s="52"/>
      <c r="H75" s="17"/>
      <c r="I75" s="17"/>
      <c r="J75" s="17"/>
      <c r="K75" s="52"/>
      <c r="L75" s="52"/>
      <c r="M75" s="52"/>
      <c r="N75" s="52"/>
      <c r="O75" s="52"/>
      <c r="P75" s="52"/>
      <c r="Q75" s="52">
        <f>965651-147620</f>
        <v>818031</v>
      </c>
      <c r="R75" s="52"/>
      <c r="S75" s="52"/>
      <c r="T75" s="128">
        <f t="shared" si="5"/>
        <v>818031</v>
      </c>
      <c r="U75" s="185"/>
      <c r="V75" s="185"/>
      <c r="W75" s="195"/>
      <c r="X75" s="201"/>
    </row>
    <row r="76" spans="1:24" ht="30" customHeight="1">
      <c r="A76" s="272" t="s">
        <v>70</v>
      </c>
      <c r="B76" s="247" t="s">
        <v>569</v>
      </c>
      <c r="C76" s="52"/>
      <c r="D76" s="17"/>
      <c r="E76" s="17"/>
      <c r="F76" s="52"/>
      <c r="G76" s="52"/>
      <c r="H76" s="17"/>
      <c r="I76" s="17"/>
      <c r="J76" s="17"/>
      <c r="K76" s="52"/>
      <c r="L76" s="52"/>
      <c r="M76" s="52"/>
      <c r="N76" s="52"/>
      <c r="O76" s="52"/>
      <c r="P76" s="52"/>
      <c r="Q76" s="52">
        <f>876691-11549</f>
        <v>865142</v>
      </c>
      <c r="R76" s="52"/>
      <c r="S76" s="52"/>
      <c r="T76" s="128">
        <f t="shared" si="5"/>
        <v>865142</v>
      </c>
      <c r="U76" s="185"/>
      <c r="V76" s="185"/>
      <c r="W76" s="195"/>
      <c r="X76" s="201"/>
    </row>
    <row r="77" spans="1:24" ht="15">
      <c r="A77" s="127" t="s">
        <v>73</v>
      </c>
      <c r="B77" s="153" t="s">
        <v>74</v>
      </c>
      <c r="C77" s="93">
        <f>SUM(C78:C78)</f>
        <v>0</v>
      </c>
      <c r="D77" s="17"/>
      <c r="E77" s="17"/>
      <c r="F77" s="52"/>
      <c r="G77" s="52"/>
      <c r="H77" s="33">
        <f aca="true" t="shared" si="11" ref="H77:S77">SUM(H78:H78)</f>
        <v>0</v>
      </c>
      <c r="I77" s="33">
        <f t="shared" si="11"/>
        <v>0</v>
      </c>
      <c r="J77" s="33">
        <f>SUM(J78:J78)</f>
        <v>0</v>
      </c>
      <c r="K77" s="93">
        <f t="shared" si="11"/>
        <v>0</v>
      </c>
      <c r="L77" s="93">
        <f t="shared" si="11"/>
        <v>0</v>
      </c>
      <c r="M77" s="93">
        <f t="shared" si="11"/>
        <v>0</v>
      </c>
      <c r="N77" s="93">
        <f t="shared" si="11"/>
        <v>0</v>
      </c>
      <c r="O77" s="93">
        <f t="shared" si="11"/>
        <v>0</v>
      </c>
      <c r="P77" s="93">
        <f t="shared" si="11"/>
        <v>0</v>
      </c>
      <c r="Q77" s="93">
        <f t="shared" si="11"/>
        <v>0</v>
      </c>
      <c r="R77" s="93">
        <f t="shared" si="11"/>
        <v>0</v>
      </c>
      <c r="S77" s="93">
        <f t="shared" si="11"/>
        <v>0</v>
      </c>
      <c r="T77" s="128">
        <f t="shared" si="5"/>
        <v>0</v>
      </c>
      <c r="U77" s="185"/>
      <c r="V77" s="185"/>
      <c r="W77" s="195"/>
      <c r="X77" s="201"/>
    </row>
    <row r="78" spans="1:24" ht="15">
      <c r="A78" s="51" t="s">
        <v>189</v>
      </c>
      <c r="B78" s="24" t="s">
        <v>257</v>
      </c>
      <c r="C78" s="52"/>
      <c r="D78" s="17"/>
      <c r="E78" s="17"/>
      <c r="F78" s="52"/>
      <c r="G78" s="52"/>
      <c r="H78" s="17"/>
      <c r="I78" s="17"/>
      <c r="J78" s="17"/>
      <c r="K78" s="17"/>
      <c r="L78" s="17"/>
      <c r="M78" s="17"/>
      <c r="N78" s="17"/>
      <c r="O78" s="52"/>
      <c r="P78" s="52"/>
      <c r="Q78" s="52"/>
      <c r="R78" s="52"/>
      <c r="S78" s="52"/>
      <c r="T78" s="128">
        <f t="shared" si="5"/>
        <v>0</v>
      </c>
      <c r="U78" s="185"/>
      <c r="V78" s="185"/>
      <c r="W78" s="195"/>
      <c r="X78" s="201"/>
    </row>
    <row r="79" spans="1:24" ht="15">
      <c r="A79" s="248" t="s">
        <v>343</v>
      </c>
      <c r="B79" s="249" t="s">
        <v>338</v>
      </c>
      <c r="C79" s="52">
        <f>108980+971+600+18383</f>
        <v>128934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>
        <v>21153</v>
      </c>
      <c r="R79" s="52">
        <v>30454</v>
      </c>
      <c r="S79" s="52"/>
      <c r="T79" s="128">
        <f t="shared" si="5"/>
        <v>180541</v>
      </c>
      <c r="U79" s="185"/>
      <c r="V79" s="185"/>
      <c r="W79" s="195"/>
      <c r="X79" s="201"/>
    </row>
    <row r="80" spans="1:24" ht="30">
      <c r="A80" s="272" t="s">
        <v>646</v>
      </c>
      <c r="B80" s="263" t="s">
        <v>619</v>
      </c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69">
        <f>374838-50000+2984</f>
        <v>327822</v>
      </c>
      <c r="T80" s="128">
        <f t="shared" si="5"/>
        <v>327822</v>
      </c>
      <c r="U80" s="185"/>
      <c r="V80" s="185"/>
      <c r="W80" s="195"/>
      <c r="X80" s="201"/>
    </row>
    <row r="81" spans="1:24" ht="15">
      <c r="A81" s="272" t="s">
        <v>646</v>
      </c>
      <c r="B81" s="264" t="s">
        <v>620</v>
      </c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>
        <v>35287</v>
      </c>
      <c r="S81" s="69"/>
      <c r="T81" s="128">
        <f>SUM(C81:S81)</f>
        <v>35287</v>
      </c>
      <c r="U81" s="185"/>
      <c r="V81" s="185"/>
      <c r="W81" s="195"/>
      <c r="X81" s="201"/>
    </row>
    <row r="82" spans="1:24" ht="30">
      <c r="A82" s="272" t="s">
        <v>646</v>
      </c>
      <c r="B82" s="264" t="s">
        <v>621</v>
      </c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>
        <v>21639</v>
      </c>
      <c r="S82" s="69"/>
      <c r="T82" s="128">
        <f>SUM(C82:S82)</f>
        <v>21639</v>
      </c>
      <c r="U82" s="185"/>
      <c r="V82" s="185"/>
      <c r="W82" s="195"/>
      <c r="X82" s="201"/>
    </row>
    <row r="83" spans="1:24" ht="60.75" thickBot="1">
      <c r="A83" s="280" t="s">
        <v>646</v>
      </c>
      <c r="B83" s="247" t="s">
        <v>570</v>
      </c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>
        <v>4177</v>
      </c>
      <c r="R83" s="80"/>
      <c r="S83" s="84"/>
      <c r="T83" s="170">
        <f>SUM(C83:S83)</f>
        <v>4177</v>
      </c>
      <c r="U83" s="185"/>
      <c r="V83" s="185"/>
      <c r="W83" s="195"/>
      <c r="X83" s="201"/>
    </row>
    <row r="84" spans="1:24" ht="15.75" thickBot="1">
      <c r="A84" s="81" t="s">
        <v>16</v>
      </c>
      <c r="B84" s="154" t="s">
        <v>75</v>
      </c>
      <c r="C84" s="45">
        <f aca="true" t="shared" si="12" ref="C84:S84">C85+C88+C91+C97</f>
        <v>5952913</v>
      </c>
      <c r="D84" s="45">
        <f t="shared" si="12"/>
        <v>678674</v>
      </c>
      <c r="E84" s="45">
        <f t="shared" si="12"/>
        <v>0</v>
      </c>
      <c r="F84" s="45"/>
      <c r="G84" s="45">
        <f t="shared" si="12"/>
        <v>95351</v>
      </c>
      <c r="H84" s="45">
        <f t="shared" si="12"/>
        <v>10600</v>
      </c>
      <c r="I84" s="45">
        <f t="shared" si="12"/>
        <v>30750</v>
      </c>
      <c r="J84" s="45">
        <f t="shared" si="12"/>
        <v>38450</v>
      </c>
      <c r="K84" s="45">
        <f t="shared" si="12"/>
        <v>139571</v>
      </c>
      <c r="L84" s="45">
        <f t="shared" si="12"/>
        <v>28120</v>
      </c>
      <c r="M84" s="45">
        <f t="shared" si="12"/>
        <v>15272</v>
      </c>
      <c r="N84" s="45">
        <f t="shared" si="12"/>
        <v>0</v>
      </c>
      <c r="O84" s="45">
        <f t="shared" si="12"/>
        <v>25171</v>
      </c>
      <c r="P84" s="45">
        <f t="shared" si="12"/>
        <v>46800</v>
      </c>
      <c r="Q84" s="45">
        <f t="shared" si="12"/>
        <v>18592</v>
      </c>
      <c r="R84" s="45">
        <f t="shared" si="12"/>
        <v>30359</v>
      </c>
      <c r="S84" s="45">
        <f t="shared" si="12"/>
        <v>0</v>
      </c>
      <c r="T84" s="46">
        <f aca="true" t="shared" si="13" ref="T84:T147">SUM(C84:S84)</f>
        <v>7110623</v>
      </c>
      <c r="U84" s="185"/>
      <c r="V84" s="185"/>
      <c r="W84" s="201"/>
      <c r="X84" s="201"/>
    </row>
    <row r="85" spans="1:24" ht="15">
      <c r="A85" s="120" t="s">
        <v>76</v>
      </c>
      <c r="B85" s="153" t="s">
        <v>77</v>
      </c>
      <c r="C85" s="122">
        <f>SUM(C86:C87)</f>
        <v>26873</v>
      </c>
      <c r="D85" s="122">
        <f aca="true" t="shared" si="14" ref="D85:S85">SUM(D86:D87)</f>
        <v>93690</v>
      </c>
      <c r="E85" s="122">
        <f t="shared" si="14"/>
        <v>0</v>
      </c>
      <c r="F85" s="122"/>
      <c r="G85" s="122">
        <f t="shared" si="14"/>
        <v>46169</v>
      </c>
      <c r="H85" s="122">
        <f t="shared" si="14"/>
        <v>1600</v>
      </c>
      <c r="I85" s="122">
        <f t="shared" si="14"/>
        <v>16105</v>
      </c>
      <c r="J85" s="122">
        <f t="shared" si="14"/>
        <v>28735</v>
      </c>
      <c r="K85" s="122">
        <f t="shared" si="14"/>
        <v>50457</v>
      </c>
      <c r="L85" s="122">
        <f t="shared" si="14"/>
        <v>20306</v>
      </c>
      <c r="M85" s="122">
        <f t="shared" si="14"/>
        <v>8000</v>
      </c>
      <c r="N85" s="122">
        <f t="shared" si="14"/>
        <v>0</v>
      </c>
      <c r="O85" s="122">
        <f>SUM(O86:O87)</f>
        <v>12000</v>
      </c>
      <c r="P85" s="122">
        <f>SUM(P86:P87)</f>
        <v>46800</v>
      </c>
      <c r="Q85" s="122">
        <f>SUM(Q86:Q87)</f>
        <v>0</v>
      </c>
      <c r="R85" s="122">
        <f t="shared" si="14"/>
        <v>0</v>
      </c>
      <c r="S85" s="122">
        <f t="shared" si="14"/>
        <v>0</v>
      </c>
      <c r="T85" s="50">
        <f t="shared" si="13"/>
        <v>350735</v>
      </c>
      <c r="U85" s="185"/>
      <c r="V85" s="185"/>
      <c r="W85" s="195"/>
      <c r="X85" s="201"/>
    </row>
    <row r="86" spans="1:24" ht="30">
      <c r="A86" s="51" t="s">
        <v>190</v>
      </c>
      <c r="B86" s="24" t="s">
        <v>357</v>
      </c>
      <c r="C86" s="131">
        <f>7813-300</f>
        <v>7513</v>
      </c>
      <c r="D86" s="17">
        <f>86836+6854</f>
        <v>93690</v>
      </c>
      <c r="E86" s="17"/>
      <c r="F86" s="17"/>
      <c r="G86" s="17">
        <f>36669+8300+1200</f>
        <v>46169</v>
      </c>
      <c r="H86" s="52">
        <v>1600</v>
      </c>
      <c r="I86" s="17">
        <v>16105</v>
      </c>
      <c r="J86" s="17">
        <v>28735</v>
      </c>
      <c r="K86" s="17">
        <v>50457</v>
      </c>
      <c r="L86" s="17">
        <v>20306</v>
      </c>
      <c r="M86" s="17">
        <f>6500+1500</f>
        <v>8000</v>
      </c>
      <c r="N86" s="17"/>
      <c r="O86" s="56">
        <v>12000</v>
      </c>
      <c r="P86" s="17">
        <v>46800</v>
      </c>
      <c r="Q86" s="17"/>
      <c r="R86" s="56"/>
      <c r="S86" s="52"/>
      <c r="T86" s="128">
        <f t="shared" si="13"/>
        <v>331375</v>
      </c>
      <c r="U86" s="185"/>
      <c r="V86" s="185"/>
      <c r="W86" s="195"/>
      <c r="X86" s="201"/>
    </row>
    <row r="87" spans="1:24" ht="15">
      <c r="A87" s="51" t="s">
        <v>271</v>
      </c>
      <c r="B87" s="142" t="s">
        <v>396</v>
      </c>
      <c r="C87" s="52">
        <v>19360</v>
      </c>
      <c r="D87" s="52"/>
      <c r="E87" s="52"/>
      <c r="F87" s="52"/>
      <c r="G87" s="17"/>
      <c r="H87" s="54"/>
      <c r="I87" s="17"/>
      <c r="J87" s="17"/>
      <c r="K87" s="52"/>
      <c r="L87" s="17"/>
      <c r="M87" s="52"/>
      <c r="N87" s="17"/>
      <c r="O87" s="56"/>
      <c r="P87" s="17"/>
      <c r="Q87" s="17"/>
      <c r="R87" s="56"/>
      <c r="S87" s="52"/>
      <c r="T87" s="128">
        <f t="shared" si="13"/>
        <v>19360</v>
      </c>
      <c r="U87" s="185"/>
      <c r="V87" s="185"/>
      <c r="W87" s="195"/>
      <c r="X87" s="201"/>
    </row>
    <row r="88" spans="1:24" ht="15">
      <c r="A88" s="127" t="s">
        <v>2</v>
      </c>
      <c r="B88" s="129" t="s">
        <v>78</v>
      </c>
      <c r="C88" s="93">
        <f>SUM(C89:C90)</f>
        <v>96463</v>
      </c>
      <c r="D88" s="93">
        <f>SUM(D89:D90)</f>
        <v>584984</v>
      </c>
      <c r="E88" s="93">
        <f>SUM(E89:E90)</f>
        <v>0</v>
      </c>
      <c r="F88" s="93"/>
      <c r="G88" s="33">
        <f>SUM(G89:G90)</f>
        <v>49182</v>
      </c>
      <c r="H88" s="92">
        <f aca="true" t="shared" si="15" ref="H88:S88">SUM(H89:H90)</f>
        <v>0</v>
      </c>
      <c r="I88" s="33">
        <f t="shared" si="15"/>
        <v>14645</v>
      </c>
      <c r="J88" s="33">
        <f t="shared" si="15"/>
        <v>9715</v>
      </c>
      <c r="K88" s="93">
        <f t="shared" si="15"/>
        <v>89114</v>
      </c>
      <c r="L88" s="93">
        <f t="shared" si="15"/>
        <v>7814</v>
      </c>
      <c r="M88" s="93">
        <f t="shared" si="15"/>
        <v>6581</v>
      </c>
      <c r="N88" s="33">
        <f t="shared" si="15"/>
        <v>0</v>
      </c>
      <c r="O88" s="33">
        <f>SUM(O89:O90)</f>
        <v>13171</v>
      </c>
      <c r="P88" s="92">
        <f>SUM(P89:P90)</f>
        <v>0</v>
      </c>
      <c r="Q88" s="92">
        <f>SUM(Q89:Q90)</f>
        <v>0</v>
      </c>
      <c r="R88" s="91">
        <f t="shared" si="15"/>
        <v>0</v>
      </c>
      <c r="S88" s="91">
        <f t="shared" si="15"/>
        <v>0</v>
      </c>
      <c r="T88" s="128">
        <f t="shared" si="13"/>
        <v>871669</v>
      </c>
      <c r="U88" s="185"/>
      <c r="V88" s="185"/>
      <c r="W88" s="195"/>
      <c r="X88" s="201"/>
    </row>
    <row r="89" spans="1:24" ht="15">
      <c r="A89" s="51" t="s">
        <v>191</v>
      </c>
      <c r="B89" s="35" t="s">
        <v>397</v>
      </c>
      <c r="C89" s="52">
        <f>96248+5145-4930</f>
        <v>96463</v>
      </c>
      <c r="D89" s="17">
        <v>42527</v>
      </c>
      <c r="E89" s="17"/>
      <c r="F89" s="17"/>
      <c r="G89" s="17"/>
      <c r="H89" s="54"/>
      <c r="I89" s="17"/>
      <c r="J89" s="17"/>
      <c r="K89" s="17"/>
      <c r="L89" s="17"/>
      <c r="M89" s="17"/>
      <c r="N89" s="17"/>
      <c r="O89" s="56"/>
      <c r="P89" s="17"/>
      <c r="Q89" s="17"/>
      <c r="R89" s="56"/>
      <c r="S89" s="52"/>
      <c r="T89" s="128">
        <f t="shared" si="13"/>
        <v>138990</v>
      </c>
      <c r="U89" s="185"/>
      <c r="V89" s="185"/>
      <c r="W89" s="195"/>
      <c r="X89" s="201"/>
    </row>
    <row r="90" spans="1:24" ht="15">
      <c r="A90" s="156" t="s">
        <v>192</v>
      </c>
      <c r="B90" s="35" t="s">
        <v>398</v>
      </c>
      <c r="C90" s="52"/>
      <c r="D90" s="232">
        <v>542457</v>
      </c>
      <c r="E90" s="17"/>
      <c r="F90" s="52"/>
      <c r="G90" s="52">
        <f>47682+1500</f>
        <v>49182</v>
      </c>
      <c r="H90" s="17"/>
      <c r="I90" s="17">
        <v>14645</v>
      </c>
      <c r="J90" s="17">
        <v>9715</v>
      </c>
      <c r="K90" s="17">
        <v>89114</v>
      </c>
      <c r="L90" s="17">
        <v>7814</v>
      </c>
      <c r="M90" s="17">
        <f>5463+1118</f>
        <v>6581</v>
      </c>
      <c r="N90" s="17"/>
      <c r="O90" s="56">
        <v>13171</v>
      </c>
      <c r="P90" s="17"/>
      <c r="Q90" s="17"/>
      <c r="R90" s="56"/>
      <c r="S90" s="52"/>
      <c r="T90" s="128">
        <f t="shared" si="13"/>
        <v>732679</v>
      </c>
      <c r="U90" s="185"/>
      <c r="V90" s="185"/>
      <c r="W90" s="195"/>
      <c r="X90" s="201"/>
    </row>
    <row r="91" spans="1:24" s="197" customFormat="1" ht="29.25">
      <c r="A91" s="127" t="s">
        <v>193</v>
      </c>
      <c r="B91" s="153" t="s">
        <v>194</v>
      </c>
      <c r="C91" s="122">
        <f>SUM(C92:C95)</f>
        <v>5787058</v>
      </c>
      <c r="D91" s="122">
        <f aca="true" t="shared" si="16" ref="D91:N91">SUM(D92:D95)</f>
        <v>0</v>
      </c>
      <c r="E91" s="122">
        <f t="shared" si="16"/>
        <v>0</v>
      </c>
      <c r="F91" s="122"/>
      <c r="G91" s="122">
        <f t="shared" si="16"/>
        <v>0</v>
      </c>
      <c r="H91" s="122">
        <f t="shared" si="16"/>
        <v>0</v>
      </c>
      <c r="I91" s="122">
        <f t="shared" si="16"/>
        <v>0</v>
      </c>
      <c r="J91" s="122">
        <f t="shared" si="16"/>
        <v>0</v>
      </c>
      <c r="K91" s="122">
        <f t="shared" si="16"/>
        <v>0</v>
      </c>
      <c r="L91" s="122">
        <f t="shared" si="16"/>
        <v>0</v>
      </c>
      <c r="M91" s="122">
        <f t="shared" si="16"/>
        <v>691</v>
      </c>
      <c r="N91" s="122">
        <f t="shared" si="16"/>
        <v>0</v>
      </c>
      <c r="O91" s="122">
        <f>SUM(O92:O95)</f>
        <v>0</v>
      </c>
      <c r="P91" s="122">
        <f>SUM(P92:P96)</f>
        <v>0</v>
      </c>
      <c r="Q91" s="122">
        <f>SUM(Q92:Q96)</f>
        <v>18592</v>
      </c>
      <c r="R91" s="122">
        <f>SUM(R92:R96)</f>
        <v>30359</v>
      </c>
      <c r="S91" s="122">
        <f>SUM(S92:S96)</f>
        <v>0</v>
      </c>
      <c r="T91" s="128">
        <f t="shared" si="13"/>
        <v>5836700</v>
      </c>
      <c r="U91" s="185"/>
      <c r="V91" s="185"/>
      <c r="W91" s="195"/>
      <c r="X91" s="201"/>
    </row>
    <row r="92" spans="1:24" s="197" customFormat="1" ht="15">
      <c r="A92" s="51" t="s">
        <v>297</v>
      </c>
      <c r="B92" s="157" t="s">
        <v>347</v>
      </c>
      <c r="C92" s="139">
        <f>64753+7183</f>
        <v>71936</v>
      </c>
      <c r="D92" s="122"/>
      <c r="E92" s="122"/>
      <c r="F92" s="122"/>
      <c r="G92" s="122"/>
      <c r="H92" s="88"/>
      <c r="I92" s="122"/>
      <c r="J92" s="122"/>
      <c r="K92" s="122"/>
      <c r="L92" s="122"/>
      <c r="M92" s="122">
        <v>691</v>
      </c>
      <c r="N92" s="122"/>
      <c r="O92" s="122"/>
      <c r="P92" s="122"/>
      <c r="Q92" s="122"/>
      <c r="R92" s="122"/>
      <c r="S92" s="93"/>
      <c r="T92" s="128">
        <f t="shared" si="13"/>
        <v>72627</v>
      </c>
      <c r="U92" s="185"/>
      <c r="V92" s="185"/>
      <c r="W92" s="217"/>
      <c r="X92" s="201"/>
    </row>
    <row r="93" spans="1:24" s="197" customFormat="1" ht="31.5">
      <c r="A93" s="11" t="s">
        <v>358</v>
      </c>
      <c r="B93" s="13" t="s">
        <v>359</v>
      </c>
      <c r="C93" s="25">
        <f>4355129+48399+20161</f>
        <v>4423689</v>
      </c>
      <c r="D93" s="122"/>
      <c r="E93" s="122"/>
      <c r="F93" s="122"/>
      <c r="G93" s="122"/>
      <c r="H93" s="88"/>
      <c r="I93" s="122"/>
      <c r="J93" s="122"/>
      <c r="K93" s="122"/>
      <c r="L93" s="122"/>
      <c r="M93" s="122"/>
      <c r="N93" s="122"/>
      <c r="O93" s="122"/>
      <c r="P93" s="122"/>
      <c r="Q93" s="122"/>
      <c r="R93" s="122"/>
      <c r="S93" s="93"/>
      <c r="T93" s="128">
        <f t="shared" si="13"/>
        <v>4423689</v>
      </c>
      <c r="U93" s="185"/>
      <c r="V93" s="185"/>
      <c r="W93" s="217"/>
      <c r="X93" s="201"/>
    </row>
    <row r="94" spans="1:24" s="197" customFormat="1" ht="60">
      <c r="A94" s="11" t="s">
        <v>514</v>
      </c>
      <c r="B94" s="4" t="s">
        <v>515</v>
      </c>
      <c r="C94" s="25">
        <f>848717+6920</f>
        <v>855637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22"/>
      <c r="N94" s="122"/>
      <c r="O94" s="122"/>
      <c r="P94" s="122"/>
      <c r="Q94" s="122"/>
      <c r="R94" s="122"/>
      <c r="S94" s="93"/>
      <c r="T94" s="128">
        <f t="shared" si="13"/>
        <v>855637</v>
      </c>
      <c r="U94" s="185"/>
      <c r="V94" s="185"/>
      <c r="W94" s="217"/>
      <c r="X94" s="201"/>
    </row>
    <row r="95" spans="1:24" s="197" customFormat="1" ht="45">
      <c r="A95" s="11" t="s">
        <v>516</v>
      </c>
      <c r="B95" s="157" t="s">
        <v>517</v>
      </c>
      <c r="C95" s="25">
        <f>510528-74732</f>
        <v>435796</v>
      </c>
      <c r="D95" s="122"/>
      <c r="E95" s="122"/>
      <c r="F95" s="122"/>
      <c r="G95" s="122"/>
      <c r="H95" s="122"/>
      <c r="I95" s="122"/>
      <c r="J95" s="122"/>
      <c r="K95" s="122"/>
      <c r="L95" s="122"/>
      <c r="M95" s="122"/>
      <c r="N95" s="122"/>
      <c r="O95" s="122"/>
      <c r="P95" s="122"/>
      <c r="Q95" s="122"/>
      <c r="R95" s="122"/>
      <c r="S95" s="93"/>
      <c r="T95" s="128">
        <f t="shared" si="13"/>
        <v>435796</v>
      </c>
      <c r="U95" s="185"/>
      <c r="V95" s="185"/>
      <c r="W95" s="217"/>
      <c r="X95" s="201"/>
    </row>
    <row r="96" spans="1:24" s="197" customFormat="1" ht="30">
      <c r="A96" s="279" t="s">
        <v>193</v>
      </c>
      <c r="B96" s="157" t="s">
        <v>194</v>
      </c>
      <c r="C96" s="25"/>
      <c r="D96" s="122"/>
      <c r="E96" s="122"/>
      <c r="F96" s="122"/>
      <c r="G96" s="122"/>
      <c r="H96" s="122"/>
      <c r="I96" s="122"/>
      <c r="J96" s="122"/>
      <c r="K96" s="122"/>
      <c r="L96" s="122"/>
      <c r="M96" s="122"/>
      <c r="N96" s="122"/>
      <c r="O96" s="122"/>
      <c r="P96" s="122"/>
      <c r="Q96" s="25">
        <v>18592</v>
      </c>
      <c r="R96" s="25">
        <v>30359</v>
      </c>
      <c r="S96" s="93"/>
      <c r="T96" s="128">
        <f t="shared" si="13"/>
        <v>48951</v>
      </c>
      <c r="U96" s="185"/>
      <c r="V96" s="185"/>
      <c r="W96" s="217"/>
      <c r="X96" s="201"/>
    </row>
    <row r="97" spans="1:24" ht="29.25">
      <c r="A97" s="120" t="s">
        <v>195</v>
      </c>
      <c r="B97" s="153" t="s">
        <v>196</v>
      </c>
      <c r="C97" s="122">
        <f>C98</f>
        <v>42519</v>
      </c>
      <c r="D97" s="122">
        <f aca="true" t="shared" si="17" ref="D97:S97">D98</f>
        <v>0</v>
      </c>
      <c r="E97" s="122">
        <f t="shared" si="17"/>
        <v>0</v>
      </c>
      <c r="F97" s="122"/>
      <c r="G97" s="122">
        <f t="shared" si="17"/>
        <v>0</v>
      </c>
      <c r="H97" s="122">
        <f t="shared" si="17"/>
        <v>9000</v>
      </c>
      <c r="I97" s="122">
        <f t="shared" si="17"/>
        <v>0</v>
      </c>
      <c r="J97" s="122">
        <f t="shared" si="17"/>
        <v>0</v>
      </c>
      <c r="K97" s="122">
        <f t="shared" si="17"/>
        <v>0</v>
      </c>
      <c r="L97" s="122">
        <f t="shared" si="17"/>
        <v>0</v>
      </c>
      <c r="M97" s="122">
        <f t="shared" si="17"/>
        <v>0</v>
      </c>
      <c r="N97" s="122">
        <f t="shared" si="17"/>
        <v>0</v>
      </c>
      <c r="O97" s="122">
        <f t="shared" si="17"/>
        <v>0</v>
      </c>
      <c r="P97" s="122">
        <f t="shared" si="17"/>
        <v>0</v>
      </c>
      <c r="Q97" s="122">
        <f t="shared" si="17"/>
        <v>0</v>
      </c>
      <c r="R97" s="122">
        <f t="shared" si="17"/>
        <v>0</v>
      </c>
      <c r="S97" s="122">
        <f t="shared" si="17"/>
        <v>0</v>
      </c>
      <c r="T97" s="128">
        <f t="shared" si="13"/>
        <v>51519</v>
      </c>
      <c r="U97" s="185"/>
      <c r="V97" s="185"/>
      <c r="W97" s="195"/>
      <c r="X97" s="201"/>
    </row>
    <row r="98" spans="1:24" s="197" customFormat="1" ht="30" customHeight="1" thickBot="1">
      <c r="A98" s="158" t="s">
        <v>298</v>
      </c>
      <c r="B98" s="152" t="s">
        <v>399</v>
      </c>
      <c r="C98" s="25">
        <f>34752+7685+82</f>
        <v>42519</v>
      </c>
      <c r="D98" s="122"/>
      <c r="E98" s="122"/>
      <c r="F98" s="122"/>
      <c r="G98" s="122"/>
      <c r="H98" s="49">
        <v>9000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  <c r="S98" s="260"/>
      <c r="T98" s="170">
        <f t="shared" si="13"/>
        <v>51519</v>
      </c>
      <c r="U98" s="185"/>
      <c r="V98" s="185"/>
      <c r="W98" s="217"/>
      <c r="X98" s="201"/>
    </row>
    <row r="99" spans="1:24" ht="30" thickBot="1">
      <c r="A99" s="81" t="s">
        <v>3</v>
      </c>
      <c r="B99" s="154" t="s">
        <v>79</v>
      </c>
      <c r="C99" s="45">
        <f>SUM(C100:C107)</f>
        <v>4198929</v>
      </c>
      <c r="D99" s="45">
        <f aca="true" t="shared" si="18" ref="D99:N99">SUM(D100:D107)</f>
        <v>2458308</v>
      </c>
      <c r="E99" s="45">
        <f t="shared" si="18"/>
        <v>0</v>
      </c>
      <c r="F99" s="45"/>
      <c r="G99" s="45">
        <f t="shared" si="18"/>
        <v>301991</v>
      </c>
      <c r="H99" s="45">
        <f t="shared" si="18"/>
        <v>97267</v>
      </c>
      <c r="I99" s="45">
        <f t="shared" si="18"/>
        <v>178737</v>
      </c>
      <c r="J99" s="45">
        <f t="shared" si="18"/>
        <v>195685</v>
      </c>
      <c r="K99" s="45">
        <f t="shared" si="18"/>
        <v>377119</v>
      </c>
      <c r="L99" s="45">
        <f t="shared" si="18"/>
        <v>120286</v>
      </c>
      <c r="M99" s="45">
        <f t="shared" si="18"/>
        <v>108348</v>
      </c>
      <c r="N99" s="45">
        <f t="shared" si="18"/>
        <v>124728</v>
      </c>
      <c r="O99" s="45">
        <f>SUM(O100:O107)</f>
        <v>109444</v>
      </c>
      <c r="P99" s="45">
        <f>SUM(P100:P107)</f>
        <v>1830083</v>
      </c>
      <c r="Q99" s="45">
        <f>SUM(Q100:Q107)</f>
        <v>2262850</v>
      </c>
      <c r="R99" s="45">
        <f>SUM(R100:R107)</f>
        <v>2028112</v>
      </c>
      <c r="S99" s="45">
        <f>SUM(S100:S107)</f>
        <v>0</v>
      </c>
      <c r="T99" s="46">
        <f t="shared" si="13"/>
        <v>14391887</v>
      </c>
      <c r="U99" s="185"/>
      <c r="V99" s="185"/>
      <c r="W99" s="201"/>
      <c r="X99" s="201"/>
    </row>
    <row r="100" spans="1:24" ht="15">
      <c r="A100" s="120" t="s">
        <v>251</v>
      </c>
      <c r="B100" s="153" t="s">
        <v>299</v>
      </c>
      <c r="C100" s="122"/>
      <c r="D100" s="88"/>
      <c r="E100" s="49"/>
      <c r="F100" s="25"/>
      <c r="G100" s="25"/>
      <c r="H100" s="49"/>
      <c r="I100" s="30"/>
      <c r="J100" s="49"/>
      <c r="K100" s="49"/>
      <c r="L100" s="49"/>
      <c r="M100" s="49"/>
      <c r="N100" s="49"/>
      <c r="O100" s="25"/>
      <c r="P100" s="25"/>
      <c r="Q100" s="25"/>
      <c r="R100" s="25"/>
      <c r="S100" s="25"/>
      <c r="T100" s="50">
        <f t="shared" si="13"/>
        <v>0</v>
      </c>
      <c r="U100" s="185"/>
      <c r="V100" s="185"/>
      <c r="W100" s="195"/>
      <c r="X100" s="201"/>
    </row>
    <row r="101" spans="1:24" ht="15">
      <c r="A101" s="148" t="s">
        <v>272</v>
      </c>
      <c r="B101" s="152" t="s">
        <v>140</v>
      </c>
      <c r="C101" s="122"/>
      <c r="D101" s="88"/>
      <c r="E101" s="49"/>
      <c r="F101" s="25"/>
      <c r="G101" s="25"/>
      <c r="H101" s="49"/>
      <c r="I101" s="17"/>
      <c r="J101" s="49"/>
      <c r="K101" s="49"/>
      <c r="L101" s="49"/>
      <c r="M101" s="49"/>
      <c r="N101" s="49"/>
      <c r="O101" s="25"/>
      <c r="P101" s="25"/>
      <c r="Q101" s="25"/>
      <c r="R101" s="25"/>
      <c r="S101" s="52"/>
      <c r="T101" s="128">
        <f t="shared" si="13"/>
        <v>0</v>
      </c>
      <c r="U101" s="185"/>
      <c r="V101" s="185"/>
      <c r="W101" s="195"/>
      <c r="X101" s="201"/>
    </row>
    <row r="102" spans="1:24" ht="15">
      <c r="A102" s="127" t="s">
        <v>300</v>
      </c>
      <c r="B102" s="129" t="s">
        <v>197</v>
      </c>
      <c r="C102" s="131">
        <f>76020+8289</f>
        <v>84309</v>
      </c>
      <c r="D102" s="33"/>
      <c r="E102" s="17"/>
      <c r="F102" s="52"/>
      <c r="G102" s="52"/>
      <c r="H102" s="17"/>
      <c r="I102" s="17"/>
      <c r="J102" s="17"/>
      <c r="K102" s="17"/>
      <c r="L102" s="17"/>
      <c r="M102" s="17"/>
      <c r="N102" s="17"/>
      <c r="O102" s="52"/>
      <c r="P102" s="52"/>
      <c r="Q102" s="52">
        <f>146126-21200-1205</f>
        <v>123721</v>
      </c>
      <c r="R102" s="52">
        <v>95545</v>
      </c>
      <c r="S102" s="52"/>
      <c r="T102" s="128">
        <f t="shared" si="13"/>
        <v>303575</v>
      </c>
      <c r="U102" s="185"/>
      <c r="V102" s="185"/>
      <c r="W102" s="195"/>
      <c r="X102" s="201"/>
    </row>
    <row r="103" spans="1:24" ht="15">
      <c r="A103" s="127" t="s">
        <v>80</v>
      </c>
      <c r="B103" s="129" t="s">
        <v>81</v>
      </c>
      <c r="C103" s="52"/>
      <c r="D103" s="17">
        <v>381947</v>
      </c>
      <c r="E103" s="17"/>
      <c r="F103" s="17"/>
      <c r="G103" s="17">
        <v>25138</v>
      </c>
      <c r="H103" s="54"/>
      <c r="I103" s="17"/>
      <c r="J103" s="17"/>
      <c r="K103" s="17"/>
      <c r="L103" s="17"/>
      <c r="M103" s="17"/>
      <c r="N103" s="17"/>
      <c r="O103" s="52"/>
      <c r="P103" s="52"/>
      <c r="Q103" s="52"/>
      <c r="R103" s="52"/>
      <c r="S103" s="52"/>
      <c r="T103" s="128">
        <f t="shared" si="13"/>
        <v>407085</v>
      </c>
      <c r="U103" s="185"/>
      <c r="V103" s="185"/>
      <c r="W103" s="195"/>
      <c r="X103" s="201"/>
    </row>
    <row r="104" spans="1:24" ht="15">
      <c r="A104" s="127" t="s">
        <v>360</v>
      </c>
      <c r="B104" s="35" t="s">
        <v>361</v>
      </c>
      <c r="C104" s="52"/>
      <c r="D104" s="33"/>
      <c r="E104" s="17"/>
      <c r="F104" s="17"/>
      <c r="G104" s="17"/>
      <c r="H104" s="54"/>
      <c r="I104" s="17">
        <v>22562</v>
      </c>
      <c r="J104" s="17">
        <v>14207</v>
      </c>
      <c r="K104" s="17">
        <v>43427</v>
      </c>
      <c r="L104" s="17">
        <f>10429</f>
        <v>10429</v>
      </c>
      <c r="M104" s="17">
        <v>6170</v>
      </c>
      <c r="N104" s="219">
        <v>97685</v>
      </c>
      <c r="O104" s="56">
        <v>5176</v>
      </c>
      <c r="P104" s="219"/>
      <c r="Q104" s="219"/>
      <c r="R104" s="56"/>
      <c r="S104" s="52"/>
      <c r="T104" s="128">
        <f t="shared" si="13"/>
        <v>199656</v>
      </c>
      <c r="U104" s="185"/>
      <c r="V104" s="185"/>
      <c r="W104" s="195"/>
      <c r="X104" s="201"/>
    </row>
    <row r="105" spans="1:24" ht="30">
      <c r="A105" s="127" t="s">
        <v>530</v>
      </c>
      <c r="B105" s="35" t="s">
        <v>533</v>
      </c>
      <c r="C105" s="52">
        <f>100000-100000</f>
        <v>0</v>
      </c>
      <c r="D105" s="33"/>
      <c r="E105" s="17"/>
      <c r="F105" s="17"/>
      <c r="G105" s="17"/>
      <c r="H105" s="56"/>
      <c r="I105" s="17"/>
      <c r="J105" s="17"/>
      <c r="K105" s="17"/>
      <c r="L105" s="17"/>
      <c r="M105" s="17"/>
      <c r="N105" s="219"/>
      <c r="O105" s="56"/>
      <c r="P105" s="219"/>
      <c r="Q105" s="219"/>
      <c r="R105" s="56"/>
      <c r="S105" s="52"/>
      <c r="T105" s="128">
        <f t="shared" si="13"/>
        <v>0</v>
      </c>
      <c r="U105" s="185"/>
      <c r="V105" s="185"/>
      <c r="W105" s="195"/>
      <c r="X105" s="201"/>
    </row>
    <row r="106" spans="1:24" ht="15">
      <c r="A106" s="127" t="s">
        <v>82</v>
      </c>
      <c r="B106" s="129" t="s">
        <v>83</v>
      </c>
      <c r="C106" s="93">
        <v>705089</v>
      </c>
      <c r="D106" s="33"/>
      <c r="E106" s="17"/>
      <c r="F106" s="17"/>
      <c r="G106" s="17"/>
      <c r="H106" s="52">
        <v>6400</v>
      </c>
      <c r="I106" s="17">
        <v>3283</v>
      </c>
      <c r="J106" s="17"/>
      <c r="K106" s="17">
        <v>38404</v>
      </c>
      <c r="L106" s="17"/>
      <c r="M106" s="17"/>
      <c r="N106" s="219">
        <v>1700</v>
      </c>
      <c r="O106" s="52"/>
      <c r="P106" s="36">
        <v>29000</v>
      </c>
      <c r="Q106" s="36">
        <f>62292+600</f>
        <v>62892</v>
      </c>
      <c r="R106" s="52">
        <v>291388</v>
      </c>
      <c r="S106" s="52"/>
      <c r="T106" s="128">
        <f t="shared" si="13"/>
        <v>1138156</v>
      </c>
      <c r="U106" s="185"/>
      <c r="V106" s="185"/>
      <c r="W106" s="195"/>
      <c r="X106" s="201"/>
    </row>
    <row r="107" spans="1:24" ht="43.5">
      <c r="A107" s="127" t="s">
        <v>84</v>
      </c>
      <c r="B107" s="129" t="s">
        <v>85</v>
      </c>
      <c r="C107" s="93">
        <f>SUM(C108:C138)</f>
        <v>3409531</v>
      </c>
      <c r="D107" s="93">
        <f>SUM(D108:D138)</f>
        <v>2076361</v>
      </c>
      <c r="E107" s="93">
        <f>SUM(E108:E138)</f>
        <v>0</v>
      </c>
      <c r="F107" s="93"/>
      <c r="G107" s="93">
        <f aca="true" t="shared" si="19" ref="G107:S107">SUM(G108:G138)</f>
        <v>276853</v>
      </c>
      <c r="H107" s="93">
        <f t="shared" si="19"/>
        <v>90867</v>
      </c>
      <c r="I107" s="93">
        <f t="shared" si="19"/>
        <v>152892</v>
      </c>
      <c r="J107" s="93">
        <f t="shared" si="19"/>
        <v>181478</v>
      </c>
      <c r="K107" s="93">
        <f t="shared" si="19"/>
        <v>295288</v>
      </c>
      <c r="L107" s="93">
        <f t="shared" si="19"/>
        <v>109857</v>
      </c>
      <c r="M107" s="93">
        <f t="shared" si="19"/>
        <v>102178</v>
      </c>
      <c r="N107" s="93">
        <f t="shared" si="19"/>
        <v>25343</v>
      </c>
      <c r="O107" s="93">
        <f t="shared" si="19"/>
        <v>104268</v>
      </c>
      <c r="P107" s="93">
        <f t="shared" si="19"/>
        <v>1801083</v>
      </c>
      <c r="Q107" s="93">
        <f t="shared" si="19"/>
        <v>2076237</v>
      </c>
      <c r="R107" s="93">
        <f t="shared" si="19"/>
        <v>1641179</v>
      </c>
      <c r="S107" s="93">
        <f t="shared" si="19"/>
        <v>0</v>
      </c>
      <c r="T107" s="128">
        <f t="shared" si="13"/>
        <v>12343415</v>
      </c>
      <c r="U107" s="185"/>
      <c r="V107" s="185"/>
      <c r="W107" s="195"/>
      <c r="X107" s="201"/>
    </row>
    <row r="108" spans="1:24" ht="15">
      <c r="A108" s="51" t="s">
        <v>198</v>
      </c>
      <c r="B108" s="35" t="s">
        <v>400</v>
      </c>
      <c r="C108" s="52">
        <v>62884</v>
      </c>
      <c r="D108" s="17">
        <v>2037952</v>
      </c>
      <c r="E108" s="17"/>
      <c r="F108" s="17"/>
      <c r="G108" s="17">
        <f>104720-1500</f>
        <v>103220</v>
      </c>
      <c r="H108" s="95"/>
      <c r="I108" s="49">
        <v>19054</v>
      </c>
      <c r="J108" s="17">
        <v>15505</v>
      </c>
      <c r="K108" s="17"/>
      <c r="L108" s="17"/>
      <c r="M108" s="17"/>
      <c r="N108" s="17"/>
      <c r="O108" s="17"/>
      <c r="P108" s="17"/>
      <c r="Q108" s="17">
        <f>241356-1323-13118</f>
        <v>226915</v>
      </c>
      <c r="R108" s="52"/>
      <c r="S108" s="52"/>
      <c r="T108" s="128">
        <f t="shared" si="13"/>
        <v>2465530</v>
      </c>
      <c r="U108" s="185"/>
      <c r="V108" s="185"/>
      <c r="W108" s="195"/>
      <c r="X108" s="201"/>
    </row>
    <row r="109" spans="1:24" ht="15">
      <c r="A109" s="51" t="s">
        <v>199</v>
      </c>
      <c r="B109" s="35" t="s">
        <v>401</v>
      </c>
      <c r="C109" s="52"/>
      <c r="D109" s="17"/>
      <c r="E109" s="17"/>
      <c r="F109" s="17"/>
      <c r="G109" s="17">
        <v>173633</v>
      </c>
      <c r="H109" s="95"/>
      <c r="I109" s="17">
        <v>66544</v>
      </c>
      <c r="J109" s="17">
        <v>86707</v>
      </c>
      <c r="K109" s="17">
        <v>146300</v>
      </c>
      <c r="L109" s="17"/>
      <c r="M109" s="17"/>
      <c r="N109" s="17"/>
      <c r="O109" s="52"/>
      <c r="P109" s="52"/>
      <c r="Q109" s="52"/>
      <c r="R109" s="52"/>
      <c r="S109" s="52"/>
      <c r="T109" s="128">
        <f t="shared" si="13"/>
        <v>473184</v>
      </c>
      <c r="U109" s="185"/>
      <c r="V109" s="185"/>
      <c r="W109" s="195"/>
      <c r="X109" s="201"/>
    </row>
    <row r="110" spans="1:24" ht="15">
      <c r="A110" s="51" t="s">
        <v>200</v>
      </c>
      <c r="B110" s="35" t="s">
        <v>402</v>
      </c>
      <c r="C110" s="131">
        <v>10456</v>
      </c>
      <c r="D110" s="17">
        <v>38409</v>
      </c>
      <c r="E110" s="17"/>
      <c r="F110" s="52"/>
      <c r="G110" s="52"/>
      <c r="H110" s="52">
        <v>10586</v>
      </c>
      <c r="I110" s="17"/>
      <c r="J110" s="17"/>
      <c r="K110" s="17">
        <v>14099</v>
      </c>
      <c r="L110" s="17">
        <v>6469</v>
      </c>
      <c r="M110" s="17"/>
      <c r="N110" s="17">
        <v>5050</v>
      </c>
      <c r="O110" s="52"/>
      <c r="P110" s="52"/>
      <c r="Q110" s="52">
        <f>40886+288</f>
        <v>41174</v>
      </c>
      <c r="R110" s="52"/>
      <c r="S110" s="52"/>
      <c r="T110" s="128">
        <f t="shared" si="13"/>
        <v>126243</v>
      </c>
      <c r="U110" s="185"/>
      <c r="V110" s="185"/>
      <c r="W110" s="195"/>
      <c r="X110" s="201"/>
    </row>
    <row r="111" spans="1:24" ht="30">
      <c r="A111" s="51" t="s">
        <v>201</v>
      </c>
      <c r="B111" s="35" t="s">
        <v>301</v>
      </c>
      <c r="C111" s="25">
        <f>43600-18602</f>
        <v>24998</v>
      </c>
      <c r="D111" s="17"/>
      <c r="E111" s="17"/>
      <c r="F111" s="52"/>
      <c r="G111" s="52"/>
      <c r="H111" s="17">
        <v>2347</v>
      </c>
      <c r="I111" s="17">
        <v>1500</v>
      </c>
      <c r="J111" s="17">
        <v>2988</v>
      </c>
      <c r="K111" s="17">
        <v>2660</v>
      </c>
      <c r="L111" s="17">
        <v>2078</v>
      </c>
      <c r="M111" s="17">
        <v>1500</v>
      </c>
      <c r="N111" s="17">
        <v>1495</v>
      </c>
      <c r="O111" s="52">
        <v>5547</v>
      </c>
      <c r="P111" s="52"/>
      <c r="Q111" s="52"/>
      <c r="R111" s="52"/>
      <c r="S111" s="52"/>
      <c r="T111" s="128">
        <f t="shared" si="13"/>
        <v>45113</v>
      </c>
      <c r="U111" s="185"/>
      <c r="V111" s="185"/>
      <c r="W111" s="195"/>
      <c r="X111" s="201"/>
    </row>
    <row r="112" spans="1:24" ht="30">
      <c r="A112" s="51" t="s">
        <v>202</v>
      </c>
      <c r="B112" s="152" t="s">
        <v>403</v>
      </c>
      <c r="C112" s="25">
        <f>65000+302</f>
        <v>65302</v>
      </c>
      <c r="D112" s="17"/>
      <c r="E112" s="17"/>
      <c r="F112" s="52"/>
      <c r="G112" s="52"/>
      <c r="H112" s="52">
        <v>5417</v>
      </c>
      <c r="I112" s="17"/>
      <c r="J112" s="17">
        <v>2739</v>
      </c>
      <c r="K112" s="17">
        <v>5789</v>
      </c>
      <c r="L112" s="17"/>
      <c r="M112" s="17"/>
      <c r="N112" s="17"/>
      <c r="O112" s="52"/>
      <c r="P112" s="52"/>
      <c r="Q112" s="52"/>
      <c r="R112" s="52"/>
      <c r="S112" s="52"/>
      <c r="T112" s="128">
        <f t="shared" si="13"/>
        <v>79247</v>
      </c>
      <c r="U112" s="185"/>
      <c r="V112" s="185"/>
      <c r="W112" s="195"/>
      <c r="X112" s="201"/>
    </row>
    <row r="113" spans="1:24" ht="15">
      <c r="A113" s="51" t="s">
        <v>203</v>
      </c>
      <c r="B113" s="159" t="s">
        <v>404</v>
      </c>
      <c r="C113" s="52">
        <f>64467+39000</f>
        <v>103467</v>
      </c>
      <c r="D113" s="52"/>
      <c r="E113" s="52"/>
      <c r="F113" s="52"/>
      <c r="G113" s="52"/>
      <c r="H113" s="52">
        <f>4630+8000</f>
        <v>12630</v>
      </c>
      <c r="I113" s="17"/>
      <c r="J113" s="17">
        <v>73539</v>
      </c>
      <c r="K113" s="17"/>
      <c r="L113" s="17">
        <f>80708-46</f>
        <v>80662</v>
      </c>
      <c r="M113" s="17"/>
      <c r="N113" s="219">
        <v>11848</v>
      </c>
      <c r="O113" s="52"/>
      <c r="P113" s="36"/>
      <c r="Q113" s="36">
        <f>233480-10550</f>
        <v>222930</v>
      </c>
      <c r="R113" s="52"/>
      <c r="S113" s="52"/>
      <c r="T113" s="128">
        <f t="shared" si="13"/>
        <v>505076</v>
      </c>
      <c r="U113" s="185"/>
      <c r="V113" s="185"/>
      <c r="W113" s="195"/>
      <c r="X113" s="201"/>
    </row>
    <row r="114" spans="1:24" ht="17.25" customHeight="1">
      <c r="A114" s="51" t="s">
        <v>204</v>
      </c>
      <c r="B114" s="35" t="s">
        <v>405</v>
      </c>
      <c r="C114" s="17">
        <v>3000</v>
      </c>
      <c r="D114" s="17"/>
      <c r="E114" s="17"/>
      <c r="F114" s="52"/>
      <c r="G114" s="52"/>
      <c r="H114" s="17"/>
      <c r="I114" s="17"/>
      <c r="J114" s="17"/>
      <c r="K114" s="17"/>
      <c r="L114" s="17"/>
      <c r="M114" s="17"/>
      <c r="N114" s="17"/>
      <c r="O114" s="52"/>
      <c r="P114" s="52"/>
      <c r="Q114" s="52">
        <v>12000</v>
      </c>
      <c r="R114" s="52"/>
      <c r="S114" s="52"/>
      <c r="T114" s="128">
        <f t="shared" si="13"/>
        <v>15000</v>
      </c>
      <c r="U114" s="185"/>
      <c r="V114" s="185"/>
      <c r="W114" s="195"/>
      <c r="X114" s="201"/>
    </row>
    <row r="115" spans="1:24" ht="15">
      <c r="A115" s="51" t="s">
        <v>205</v>
      </c>
      <c r="B115" s="35" t="s">
        <v>406</v>
      </c>
      <c r="C115" s="52"/>
      <c r="D115" s="52"/>
      <c r="E115" s="52"/>
      <c r="F115" s="52"/>
      <c r="G115" s="52"/>
      <c r="H115" s="17"/>
      <c r="I115" s="17">
        <v>65794</v>
      </c>
      <c r="J115" s="17"/>
      <c r="K115" s="6">
        <v>126440</v>
      </c>
      <c r="L115" s="17">
        <v>20648</v>
      </c>
      <c r="M115" s="17">
        <v>100678</v>
      </c>
      <c r="N115" s="17"/>
      <c r="O115" s="56">
        <v>98721</v>
      </c>
      <c r="P115" s="17"/>
      <c r="Q115" s="17"/>
      <c r="R115" s="56">
        <v>567545</v>
      </c>
      <c r="S115" s="52"/>
      <c r="T115" s="128">
        <f t="shared" si="13"/>
        <v>979826</v>
      </c>
      <c r="U115" s="185"/>
      <c r="V115" s="185"/>
      <c r="W115" s="195"/>
      <c r="X115" s="201"/>
    </row>
    <row r="116" spans="1:24" ht="15">
      <c r="A116" s="51" t="s">
        <v>307</v>
      </c>
      <c r="B116" s="152" t="s">
        <v>302</v>
      </c>
      <c r="C116" s="17">
        <f>344682+1857-600+218000+400+1100</f>
        <v>565439</v>
      </c>
      <c r="D116" s="17"/>
      <c r="E116" s="17"/>
      <c r="F116" s="17"/>
      <c r="G116" s="17"/>
      <c r="H116" s="17">
        <f>62457-8000</f>
        <v>54457</v>
      </c>
      <c r="I116" s="17"/>
      <c r="J116" s="17"/>
      <c r="K116" s="6"/>
      <c r="L116" s="17"/>
      <c r="M116" s="17"/>
      <c r="N116" s="17">
        <v>6950</v>
      </c>
      <c r="O116" s="52"/>
      <c r="P116" s="52"/>
      <c r="Q116" s="52">
        <f>179343+5950-15784</f>
        <v>169509</v>
      </c>
      <c r="R116" s="52">
        <v>146825</v>
      </c>
      <c r="S116" s="52"/>
      <c r="T116" s="128">
        <f t="shared" si="13"/>
        <v>943180</v>
      </c>
      <c r="U116" s="185"/>
      <c r="V116" s="185"/>
      <c r="W116" s="195"/>
      <c r="X116" s="201"/>
    </row>
    <row r="117" spans="1:24" ht="30">
      <c r="A117" s="11" t="s">
        <v>345</v>
      </c>
      <c r="B117" s="160" t="s">
        <v>348</v>
      </c>
      <c r="C117" s="52">
        <f>1372662+12974</f>
        <v>1385636</v>
      </c>
      <c r="D117" s="52"/>
      <c r="E117" s="52"/>
      <c r="F117" s="52"/>
      <c r="G117" s="52"/>
      <c r="H117" s="17"/>
      <c r="I117" s="17"/>
      <c r="J117" s="17"/>
      <c r="K117" s="6"/>
      <c r="L117" s="52"/>
      <c r="M117" s="17"/>
      <c r="N117" s="17"/>
      <c r="O117" s="52"/>
      <c r="P117" s="52"/>
      <c r="Q117" s="52"/>
      <c r="R117" s="52"/>
      <c r="S117" s="52"/>
      <c r="T117" s="128">
        <f t="shared" si="13"/>
        <v>1385636</v>
      </c>
      <c r="U117" s="185"/>
      <c r="V117" s="185"/>
      <c r="W117" s="195"/>
      <c r="X117" s="201"/>
    </row>
    <row r="118" spans="1:24" ht="15.75">
      <c r="A118" s="11" t="s">
        <v>407</v>
      </c>
      <c r="B118" s="13" t="s">
        <v>408</v>
      </c>
      <c r="C118" s="52">
        <f>29434+332</f>
        <v>29766</v>
      </c>
      <c r="D118" s="52"/>
      <c r="E118" s="52"/>
      <c r="F118" s="52"/>
      <c r="G118" s="52"/>
      <c r="H118" s="52"/>
      <c r="I118" s="52"/>
      <c r="J118" s="52"/>
      <c r="K118" s="131"/>
      <c r="L118" s="52"/>
      <c r="M118" s="52"/>
      <c r="N118" s="52"/>
      <c r="O118" s="52"/>
      <c r="P118" s="52"/>
      <c r="Q118" s="52"/>
      <c r="R118" s="52"/>
      <c r="S118" s="52"/>
      <c r="T118" s="128">
        <f t="shared" si="13"/>
        <v>29766</v>
      </c>
      <c r="U118" s="185"/>
      <c r="V118" s="185"/>
      <c r="W118" s="195"/>
      <c r="X118" s="201"/>
    </row>
    <row r="119" spans="1:24" ht="15.75">
      <c r="A119" s="11" t="s">
        <v>409</v>
      </c>
      <c r="B119" s="13" t="s">
        <v>672</v>
      </c>
      <c r="C119" s="52">
        <f>54450+213</f>
        <v>54663</v>
      </c>
      <c r="D119" s="52"/>
      <c r="E119" s="52"/>
      <c r="F119" s="52"/>
      <c r="G119" s="52"/>
      <c r="H119" s="52"/>
      <c r="I119" s="52"/>
      <c r="J119" s="52"/>
      <c r="K119" s="131"/>
      <c r="L119" s="52"/>
      <c r="M119" s="52"/>
      <c r="N119" s="52"/>
      <c r="O119" s="52"/>
      <c r="P119" s="52"/>
      <c r="Q119" s="52"/>
      <c r="R119" s="52"/>
      <c r="S119" s="52"/>
      <c r="T119" s="128">
        <f t="shared" si="13"/>
        <v>54663</v>
      </c>
      <c r="U119" s="185"/>
      <c r="V119" s="185"/>
      <c r="W119" s="195"/>
      <c r="X119" s="201"/>
    </row>
    <row r="120" spans="1:24" ht="15.75">
      <c r="A120" s="11" t="s">
        <v>410</v>
      </c>
      <c r="B120" s="220" t="s">
        <v>673</v>
      </c>
      <c r="C120" s="52">
        <f>40000+583332</f>
        <v>623332</v>
      </c>
      <c r="D120" s="52"/>
      <c r="E120" s="52"/>
      <c r="F120" s="52"/>
      <c r="G120" s="52"/>
      <c r="H120" s="52"/>
      <c r="I120" s="52"/>
      <c r="J120" s="52"/>
      <c r="K120" s="131"/>
      <c r="L120" s="52"/>
      <c r="M120" s="52"/>
      <c r="N120" s="52"/>
      <c r="O120" s="52"/>
      <c r="P120" s="52"/>
      <c r="Q120" s="52"/>
      <c r="R120" s="52"/>
      <c r="S120" s="52"/>
      <c r="T120" s="128">
        <f t="shared" si="13"/>
        <v>623332</v>
      </c>
      <c r="U120" s="185"/>
      <c r="V120" s="185"/>
      <c r="W120" s="195"/>
      <c r="X120" s="201"/>
    </row>
    <row r="121" spans="1:24" ht="15.75">
      <c r="A121" s="11" t="s">
        <v>460</v>
      </c>
      <c r="B121" s="220" t="s">
        <v>461</v>
      </c>
      <c r="C121" s="52"/>
      <c r="D121" s="52"/>
      <c r="E121" s="52"/>
      <c r="F121" s="52"/>
      <c r="G121" s="52"/>
      <c r="H121" s="52">
        <v>5430</v>
      </c>
      <c r="I121" s="52"/>
      <c r="J121" s="52"/>
      <c r="K121" s="131"/>
      <c r="L121" s="52"/>
      <c r="M121" s="52"/>
      <c r="N121" s="52"/>
      <c r="O121" s="52"/>
      <c r="P121" s="52"/>
      <c r="Q121" s="52"/>
      <c r="R121" s="52"/>
      <c r="S121" s="52"/>
      <c r="T121" s="128">
        <f t="shared" si="13"/>
        <v>5430</v>
      </c>
      <c r="U121" s="185"/>
      <c r="V121" s="185"/>
      <c r="W121" s="195"/>
      <c r="X121" s="201"/>
    </row>
    <row r="122" spans="1:24" ht="15">
      <c r="A122" s="11" t="s">
        <v>518</v>
      </c>
      <c r="B122" s="235" t="s">
        <v>519</v>
      </c>
      <c r="C122" s="52">
        <v>100000</v>
      </c>
      <c r="D122" s="52"/>
      <c r="E122" s="52"/>
      <c r="F122" s="52"/>
      <c r="G122" s="52"/>
      <c r="H122" s="52"/>
      <c r="I122" s="52"/>
      <c r="J122" s="52"/>
      <c r="K122" s="131"/>
      <c r="L122" s="52"/>
      <c r="M122" s="52"/>
      <c r="N122" s="52"/>
      <c r="O122" s="52"/>
      <c r="P122" s="52"/>
      <c r="Q122" s="52"/>
      <c r="R122" s="52"/>
      <c r="S122" s="52"/>
      <c r="T122" s="128">
        <f t="shared" si="13"/>
        <v>100000</v>
      </c>
      <c r="U122" s="185"/>
      <c r="V122" s="185"/>
      <c r="W122" s="195"/>
      <c r="X122" s="201"/>
    </row>
    <row r="123" spans="1:24" ht="45">
      <c r="A123" s="11" t="s">
        <v>528</v>
      </c>
      <c r="B123" s="235" t="s">
        <v>529</v>
      </c>
      <c r="C123" s="52">
        <v>20000</v>
      </c>
      <c r="D123" s="52"/>
      <c r="E123" s="52"/>
      <c r="F123" s="52"/>
      <c r="G123" s="52"/>
      <c r="H123" s="52"/>
      <c r="I123" s="52"/>
      <c r="J123" s="52"/>
      <c r="K123" s="131"/>
      <c r="L123" s="52"/>
      <c r="M123" s="52"/>
      <c r="N123" s="52"/>
      <c r="O123" s="52"/>
      <c r="P123" s="52"/>
      <c r="Q123" s="17"/>
      <c r="R123" s="52"/>
      <c r="S123" s="52"/>
      <c r="T123" s="128">
        <f t="shared" si="13"/>
        <v>20000</v>
      </c>
      <c r="U123" s="185"/>
      <c r="V123" s="185"/>
      <c r="W123" s="195"/>
      <c r="X123" s="201"/>
    </row>
    <row r="124" spans="1:24" ht="30">
      <c r="A124" s="222" t="s">
        <v>612</v>
      </c>
      <c r="B124" s="235" t="s">
        <v>615</v>
      </c>
      <c r="C124" s="17">
        <f>300390+53010+7188</f>
        <v>360588</v>
      </c>
      <c r="D124" s="17"/>
      <c r="E124" s="17"/>
      <c r="F124" s="17"/>
      <c r="G124" s="17"/>
      <c r="H124" s="17"/>
      <c r="I124" s="17"/>
      <c r="J124" s="17"/>
      <c r="K124" s="6"/>
      <c r="L124" s="17"/>
      <c r="M124" s="17"/>
      <c r="N124" s="17"/>
      <c r="O124" s="17"/>
      <c r="P124" s="17"/>
      <c r="Q124" s="17"/>
      <c r="R124" s="52"/>
      <c r="S124" s="52"/>
      <c r="T124" s="128">
        <f t="shared" si="13"/>
        <v>360588</v>
      </c>
      <c r="U124" s="185"/>
      <c r="V124" s="185"/>
      <c r="W124" s="195"/>
      <c r="X124" s="201"/>
    </row>
    <row r="125" spans="1:24" ht="15">
      <c r="A125" s="222" t="s">
        <v>84</v>
      </c>
      <c r="B125" s="235" t="s">
        <v>637</v>
      </c>
      <c r="C125" s="17"/>
      <c r="D125" s="17"/>
      <c r="E125" s="17"/>
      <c r="F125" s="17"/>
      <c r="G125" s="17"/>
      <c r="H125" s="17"/>
      <c r="I125" s="17"/>
      <c r="J125" s="17"/>
      <c r="K125" s="6"/>
      <c r="L125" s="17"/>
      <c r="M125" s="17"/>
      <c r="N125" s="17"/>
      <c r="O125" s="17"/>
      <c r="P125" s="17">
        <v>1306991</v>
      </c>
      <c r="Q125" s="17"/>
      <c r="R125" s="52"/>
      <c r="S125" s="52"/>
      <c r="T125" s="128">
        <f t="shared" si="13"/>
        <v>1306991</v>
      </c>
      <c r="U125" s="185"/>
      <c r="V125" s="185"/>
      <c r="W125" s="195"/>
      <c r="X125" s="201"/>
    </row>
    <row r="126" spans="1:24" ht="15">
      <c r="A126" s="222" t="s">
        <v>647</v>
      </c>
      <c r="B126" s="9" t="s">
        <v>638</v>
      </c>
      <c r="C126" s="17"/>
      <c r="D126" s="17"/>
      <c r="E126" s="17"/>
      <c r="F126" s="17"/>
      <c r="G126" s="17"/>
      <c r="H126" s="17"/>
      <c r="I126" s="17"/>
      <c r="J126" s="17"/>
      <c r="K126" s="6"/>
      <c r="L126" s="17"/>
      <c r="M126" s="17"/>
      <c r="N126" s="17"/>
      <c r="O126" s="17"/>
      <c r="P126" s="17">
        <v>217494</v>
      </c>
      <c r="Q126" s="17"/>
      <c r="R126" s="52"/>
      <c r="S126" s="52"/>
      <c r="T126" s="128">
        <f t="shared" si="13"/>
        <v>217494</v>
      </c>
      <c r="U126" s="185"/>
      <c r="V126" s="185"/>
      <c r="W126" s="195"/>
      <c r="X126" s="201"/>
    </row>
    <row r="127" spans="1:24" ht="15">
      <c r="A127" s="222" t="s">
        <v>647</v>
      </c>
      <c r="B127" s="9" t="s">
        <v>252</v>
      </c>
      <c r="C127" s="17"/>
      <c r="D127" s="17"/>
      <c r="E127" s="17"/>
      <c r="F127" s="17"/>
      <c r="G127" s="17"/>
      <c r="H127" s="17"/>
      <c r="I127" s="17"/>
      <c r="J127" s="17"/>
      <c r="K127" s="6"/>
      <c r="L127" s="17"/>
      <c r="M127" s="17"/>
      <c r="N127" s="17"/>
      <c r="O127" s="17"/>
      <c r="P127" s="17">
        <v>102890</v>
      </c>
      <c r="Q127" s="17"/>
      <c r="R127" s="52"/>
      <c r="S127" s="52"/>
      <c r="T127" s="128">
        <f t="shared" si="13"/>
        <v>102890</v>
      </c>
      <c r="U127" s="185"/>
      <c r="V127" s="185"/>
      <c r="W127" s="195"/>
      <c r="X127" s="201"/>
    </row>
    <row r="128" spans="1:24" ht="15">
      <c r="A128" s="268" t="s">
        <v>647</v>
      </c>
      <c r="B128" s="281" t="s">
        <v>639</v>
      </c>
      <c r="C128" s="80"/>
      <c r="D128" s="80"/>
      <c r="E128" s="80"/>
      <c r="F128" s="80"/>
      <c r="G128" s="80"/>
      <c r="H128" s="80"/>
      <c r="I128" s="80"/>
      <c r="J128" s="80"/>
      <c r="K128" s="143"/>
      <c r="L128" s="80"/>
      <c r="M128" s="80"/>
      <c r="N128" s="80"/>
      <c r="O128" s="80"/>
      <c r="P128" s="80">
        <f>104225+69483</f>
        <v>173708</v>
      </c>
      <c r="Q128" s="80"/>
      <c r="R128" s="52"/>
      <c r="S128" s="52"/>
      <c r="T128" s="128">
        <f t="shared" si="13"/>
        <v>173708</v>
      </c>
      <c r="U128" s="185"/>
      <c r="V128" s="185"/>
      <c r="W128" s="195"/>
      <c r="X128" s="201"/>
    </row>
    <row r="129" spans="1:24" ht="51.75">
      <c r="A129" s="282" t="s">
        <v>84</v>
      </c>
      <c r="B129" s="250" t="s">
        <v>571</v>
      </c>
      <c r="C129" s="17"/>
      <c r="D129" s="17"/>
      <c r="E129" s="17"/>
      <c r="F129" s="17"/>
      <c r="G129" s="17"/>
      <c r="H129" s="17"/>
      <c r="I129" s="17"/>
      <c r="J129" s="17"/>
      <c r="K129" s="6"/>
      <c r="L129" s="17"/>
      <c r="M129" s="17"/>
      <c r="N129" s="17"/>
      <c r="O129" s="17"/>
      <c r="P129" s="17"/>
      <c r="Q129" s="17">
        <v>70000</v>
      </c>
      <c r="R129" s="52"/>
      <c r="S129" s="52"/>
      <c r="T129" s="128">
        <f t="shared" si="13"/>
        <v>70000</v>
      </c>
      <c r="U129" s="185"/>
      <c r="V129" s="185"/>
      <c r="W129" s="195"/>
      <c r="X129" s="201"/>
    </row>
    <row r="130" spans="1:24" ht="15">
      <c r="A130" s="282" t="s">
        <v>647</v>
      </c>
      <c r="B130" s="250" t="s">
        <v>572</v>
      </c>
      <c r="C130" s="17"/>
      <c r="D130" s="17"/>
      <c r="E130" s="17"/>
      <c r="F130" s="17"/>
      <c r="G130" s="17"/>
      <c r="H130" s="17"/>
      <c r="I130" s="17"/>
      <c r="J130" s="17"/>
      <c r="K130" s="6"/>
      <c r="L130" s="17"/>
      <c r="M130" s="17"/>
      <c r="N130" s="17"/>
      <c r="O130" s="17"/>
      <c r="P130" s="17"/>
      <c r="Q130" s="17">
        <v>113050</v>
      </c>
      <c r="R130" s="52"/>
      <c r="S130" s="52"/>
      <c r="T130" s="128">
        <f t="shared" si="13"/>
        <v>113050</v>
      </c>
      <c r="U130" s="185"/>
      <c r="V130" s="185"/>
      <c r="W130" s="195"/>
      <c r="X130" s="201"/>
    </row>
    <row r="131" spans="1:24" ht="39">
      <c r="A131" s="282" t="s">
        <v>84</v>
      </c>
      <c r="B131" s="250" t="s">
        <v>573</v>
      </c>
      <c r="C131" s="17"/>
      <c r="D131" s="17"/>
      <c r="E131" s="17"/>
      <c r="F131" s="17"/>
      <c r="G131" s="17"/>
      <c r="H131" s="17"/>
      <c r="I131" s="17"/>
      <c r="J131" s="17"/>
      <c r="K131" s="6"/>
      <c r="L131" s="17"/>
      <c r="M131" s="17"/>
      <c r="N131" s="17"/>
      <c r="O131" s="17"/>
      <c r="P131" s="17"/>
      <c r="Q131" s="17">
        <v>70000</v>
      </c>
      <c r="R131" s="52"/>
      <c r="S131" s="52"/>
      <c r="T131" s="128">
        <f t="shared" si="13"/>
        <v>70000</v>
      </c>
      <c r="U131" s="185"/>
      <c r="V131" s="185"/>
      <c r="W131" s="195"/>
      <c r="X131" s="201"/>
    </row>
    <row r="132" spans="1:24" ht="15">
      <c r="A132" s="282" t="s">
        <v>84</v>
      </c>
      <c r="B132" s="250" t="s">
        <v>574</v>
      </c>
      <c r="C132" s="17"/>
      <c r="D132" s="17"/>
      <c r="E132" s="17"/>
      <c r="F132" s="17"/>
      <c r="G132" s="17"/>
      <c r="H132" s="17"/>
      <c r="I132" s="17"/>
      <c r="J132" s="17"/>
      <c r="K132" s="6"/>
      <c r="L132" s="17"/>
      <c r="M132" s="17"/>
      <c r="N132" s="17"/>
      <c r="O132" s="17"/>
      <c r="P132" s="17"/>
      <c r="Q132" s="17">
        <v>165463</v>
      </c>
      <c r="R132" s="52"/>
      <c r="S132" s="52"/>
      <c r="T132" s="128">
        <f t="shared" si="13"/>
        <v>165463</v>
      </c>
      <c r="U132" s="185"/>
      <c r="V132" s="185"/>
      <c r="W132" s="195"/>
      <c r="X132" s="201"/>
    </row>
    <row r="133" spans="1:24" ht="39">
      <c r="A133" s="282" t="s">
        <v>84</v>
      </c>
      <c r="B133" s="250" t="s">
        <v>575</v>
      </c>
      <c r="C133" s="17"/>
      <c r="D133" s="17"/>
      <c r="E133" s="17"/>
      <c r="F133" s="17"/>
      <c r="G133" s="17"/>
      <c r="H133" s="17"/>
      <c r="I133" s="17"/>
      <c r="J133" s="17"/>
      <c r="K133" s="6"/>
      <c r="L133" s="17"/>
      <c r="M133" s="17"/>
      <c r="N133" s="17"/>
      <c r="O133" s="17"/>
      <c r="P133" s="17"/>
      <c r="Q133" s="17">
        <v>145000</v>
      </c>
      <c r="R133" s="52"/>
      <c r="S133" s="52"/>
      <c r="T133" s="128">
        <f t="shared" si="13"/>
        <v>145000</v>
      </c>
      <c r="U133" s="185"/>
      <c r="V133" s="185"/>
      <c r="W133" s="195"/>
      <c r="X133" s="201"/>
    </row>
    <row r="134" spans="1:24" ht="15">
      <c r="A134" s="282" t="s">
        <v>84</v>
      </c>
      <c r="B134" s="250" t="s">
        <v>576</v>
      </c>
      <c r="C134" s="17"/>
      <c r="D134" s="17"/>
      <c r="E134" s="17"/>
      <c r="F134" s="17"/>
      <c r="G134" s="17"/>
      <c r="H134" s="17"/>
      <c r="I134" s="17"/>
      <c r="J134" s="17"/>
      <c r="K134" s="6"/>
      <c r="L134" s="17"/>
      <c r="M134" s="17"/>
      <c r="N134" s="17"/>
      <c r="O134" s="17"/>
      <c r="P134" s="17"/>
      <c r="Q134" s="17">
        <v>42463</v>
      </c>
      <c r="R134" s="52"/>
      <c r="S134" s="52"/>
      <c r="T134" s="128">
        <f t="shared" si="13"/>
        <v>42463</v>
      </c>
      <c r="U134" s="185"/>
      <c r="V134" s="185"/>
      <c r="W134" s="195"/>
      <c r="X134" s="201"/>
    </row>
    <row r="135" spans="1:24" ht="39">
      <c r="A135" s="282" t="s">
        <v>84</v>
      </c>
      <c r="B135" s="250" t="s">
        <v>577</v>
      </c>
      <c r="C135" s="17"/>
      <c r="D135" s="17"/>
      <c r="E135" s="17"/>
      <c r="F135" s="17"/>
      <c r="G135" s="17"/>
      <c r="H135" s="17"/>
      <c r="I135" s="17"/>
      <c r="J135" s="17"/>
      <c r="K135" s="6"/>
      <c r="L135" s="17"/>
      <c r="M135" s="17"/>
      <c r="N135" s="17"/>
      <c r="O135" s="17"/>
      <c r="P135" s="17"/>
      <c r="Q135" s="49">
        <f>285395+32306</f>
        <v>317701</v>
      </c>
      <c r="R135" s="52"/>
      <c r="S135" s="52"/>
      <c r="T135" s="128">
        <f t="shared" si="13"/>
        <v>317701</v>
      </c>
      <c r="U135" s="185"/>
      <c r="V135" s="185"/>
      <c r="W135" s="195"/>
      <c r="X135" s="201"/>
    </row>
    <row r="136" spans="1:24" ht="39">
      <c r="A136" s="282" t="s">
        <v>84</v>
      </c>
      <c r="B136" s="250" t="s">
        <v>578</v>
      </c>
      <c r="C136" s="17"/>
      <c r="D136" s="17"/>
      <c r="E136" s="17"/>
      <c r="F136" s="17"/>
      <c r="G136" s="17"/>
      <c r="H136" s="17"/>
      <c r="I136" s="17"/>
      <c r="J136" s="17"/>
      <c r="K136" s="6"/>
      <c r="L136" s="17"/>
      <c r="M136" s="17"/>
      <c r="N136" s="17"/>
      <c r="O136" s="17"/>
      <c r="P136" s="17"/>
      <c r="Q136" s="17">
        <f>27443-4522</f>
        <v>22921</v>
      </c>
      <c r="R136" s="52"/>
      <c r="S136" s="52"/>
      <c r="T136" s="128">
        <f t="shared" si="13"/>
        <v>22921</v>
      </c>
      <c r="U136" s="185"/>
      <c r="V136" s="185"/>
      <c r="W136" s="195"/>
      <c r="X136" s="201"/>
    </row>
    <row r="137" spans="1:24" ht="15">
      <c r="A137" s="282" t="s">
        <v>84</v>
      </c>
      <c r="B137" s="250" t="s">
        <v>579</v>
      </c>
      <c r="C137" s="17"/>
      <c r="D137" s="17"/>
      <c r="E137" s="17"/>
      <c r="F137" s="17"/>
      <c r="G137" s="17"/>
      <c r="H137" s="17"/>
      <c r="I137" s="17"/>
      <c r="J137" s="17"/>
      <c r="K137" s="6"/>
      <c r="L137" s="17"/>
      <c r="M137" s="17"/>
      <c r="N137" s="17"/>
      <c r="O137" s="17"/>
      <c r="P137" s="17"/>
      <c r="Q137" s="17">
        <v>457111</v>
      </c>
      <c r="R137" s="52"/>
      <c r="S137" s="52"/>
      <c r="T137" s="128">
        <f t="shared" si="13"/>
        <v>457111</v>
      </c>
      <c r="U137" s="185"/>
      <c r="V137" s="185"/>
      <c r="W137" s="195"/>
      <c r="X137" s="201"/>
    </row>
    <row r="138" spans="1:24" ht="30.75" thickBot="1">
      <c r="A138" s="282" t="s">
        <v>84</v>
      </c>
      <c r="B138" s="235" t="s">
        <v>622</v>
      </c>
      <c r="C138" s="17"/>
      <c r="D138" s="17"/>
      <c r="E138" s="17"/>
      <c r="F138" s="17"/>
      <c r="G138" s="17"/>
      <c r="H138" s="17"/>
      <c r="I138" s="17"/>
      <c r="J138" s="17"/>
      <c r="K138" s="6"/>
      <c r="L138" s="17"/>
      <c r="M138" s="17"/>
      <c r="N138" s="17"/>
      <c r="O138" s="17"/>
      <c r="P138" s="17"/>
      <c r="Q138" s="17"/>
      <c r="R138" s="52">
        <v>926809</v>
      </c>
      <c r="S138" s="52"/>
      <c r="T138" s="128">
        <f t="shared" si="13"/>
        <v>926809</v>
      </c>
      <c r="U138" s="185"/>
      <c r="V138" s="185"/>
      <c r="W138" s="195"/>
      <c r="X138" s="201"/>
    </row>
    <row r="139" spans="1:24" ht="15.75" thickBot="1">
      <c r="A139" s="81" t="s">
        <v>4</v>
      </c>
      <c r="B139" s="43" t="s">
        <v>86</v>
      </c>
      <c r="C139" s="45">
        <f aca="true" t="shared" si="20" ref="C139:Q139">SUM(C140+C142+C143+C144+C145+C146)</f>
        <v>123369</v>
      </c>
      <c r="D139" s="45">
        <f t="shared" si="20"/>
        <v>0</v>
      </c>
      <c r="E139" s="45">
        <f t="shared" si="20"/>
        <v>0</v>
      </c>
      <c r="F139" s="45"/>
      <c r="G139" s="45">
        <f t="shared" si="20"/>
        <v>0</v>
      </c>
      <c r="H139" s="45">
        <f t="shared" si="20"/>
        <v>1930</v>
      </c>
      <c r="I139" s="45">
        <f t="shared" si="20"/>
        <v>0</v>
      </c>
      <c r="J139" s="45">
        <f t="shared" si="20"/>
        <v>0</v>
      </c>
      <c r="K139" s="45">
        <f t="shared" si="20"/>
        <v>0</v>
      </c>
      <c r="L139" s="45">
        <f t="shared" si="20"/>
        <v>3419</v>
      </c>
      <c r="M139" s="45">
        <f t="shared" si="20"/>
        <v>29528</v>
      </c>
      <c r="N139" s="45">
        <f t="shared" si="20"/>
        <v>300</v>
      </c>
      <c r="O139" s="45">
        <f t="shared" si="20"/>
        <v>2110</v>
      </c>
      <c r="P139" s="45">
        <f t="shared" si="20"/>
        <v>0</v>
      </c>
      <c r="Q139" s="45">
        <f t="shared" si="20"/>
        <v>436720</v>
      </c>
      <c r="R139" s="45">
        <f>SUM(R140+R142+R143+R144+R145+R146)</f>
        <v>160744</v>
      </c>
      <c r="S139" s="45">
        <f>SUM(S140+S142+S143+S144+S145+S146)</f>
        <v>0</v>
      </c>
      <c r="T139" s="46">
        <f t="shared" si="13"/>
        <v>758120</v>
      </c>
      <c r="U139" s="185"/>
      <c r="V139" s="185"/>
      <c r="W139" s="201"/>
      <c r="X139" s="201"/>
    </row>
    <row r="140" spans="1:24" s="197" customFormat="1" ht="15">
      <c r="A140" s="120" t="s">
        <v>87</v>
      </c>
      <c r="B140" s="121" t="s">
        <v>88</v>
      </c>
      <c r="C140" s="122">
        <f>SUM(C141:C141)</f>
        <v>0</v>
      </c>
      <c r="D140" s="122">
        <f aca="true" t="shared" si="21" ref="D140:S140">SUM(D141:D141)</f>
        <v>0</v>
      </c>
      <c r="E140" s="122">
        <f t="shared" si="21"/>
        <v>0</v>
      </c>
      <c r="F140" s="122"/>
      <c r="G140" s="122">
        <f t="shared" si="21"/>
        <v>0</v>
      </c>
      <c r="H140" s="122">
        <f>SUM(H141:H141)</f>
        <v>1930</v>
      </c>
      <c r="I140" s="122">
        <f t="shared" si="21"/>
        <v>0</v>
      </c>
      <c r="J140" s="122">
        <f t="shared" si="21"/>
        <v>0</v>
      </c>
      <c r="K140" s="122">
        <f t="shared" si="21"/>
        <v>0</v>
      </c>
      <c r="L140" s="122">
        <f t="shared" si="21"/>
        <v>3419</v>
      </c>
      <c r="M140" s="122">
        <f t="shared" si="21"/>
        <v>29528</v>
      </c>
      <c r="N140" s="122">
        <f t="shared" si="21"/>
        <v>300</v>
      </c>
      <c r="O140" s="122">
        <f t="shared" si="21"/>
        <v>2110</v>
      </c>
      <c r="P140" s="122">
        <f t="shared" si="21"/>
        <v>0</v>
      </c>
      <c r="Q140" s="122">
        <f>SUM(Q141:Q141)</f>
        <v>27192</v>
      </c>
      <c r="R140" s="122">
        <f t="shared" si="21"/>
        <v>0</v>
      </c>
      <c r="S140" s="122">
        <f t="shared" si="21"/>
        <v>0</v>
      </c>
      <c r="T140" s="50">
        <f t="shared" si="13"/>
        <v>64479</v>
      </c>
      <c r="U140" s="185"/>
      <c r="V140" s="185"/>
      <c r="W140" s="195"/>
      <c r="X140" s="201"/>
    </row>
    <row r="141" spans="1:24" s="197" customFormat="1" ht="15">
      <c r="A141" s="51" t="s">
        <v>303</v>
      </c>
      <c r="B141" s="24" t="s">
        <v>141</v>
      </c>
      <c r="C141" s="122"/>
      <c r="D141" s="122"/>
      <c r="E141" s="122"/>
      <c r="F141" s="122"/>
      <c r="G141" s="122"/>
      <c r="H141" s="88">
        <v>1930</v>
      </c>
      <c r="I141" s="122"/>
      <c r="J141" s="122"/>
      <c r="K141" s="122"/>
      <c r="L141" s="88">
        <v>3419</v>
      </c>
      <c r="M141" s="122">
        <f>29528</f>
        <v>29528</v>
      </c>
      <c r="N141" s="33">
        <v>300</v>
      </c>
      <c r="O141" s="76">
        <v>2110</v>
      </c>
      <c r="P141" s="33"/>
      <c r="Q141" s="33">
        <f>23624+1323+2245</f>
        <v>27192</v>
      </c>
      <c r="R141" s="76"/>
      <c r="S141" s="52"/>
      <c r="T141" s="128">
        <f t="shared" si="13"/>
        <v>64479</v>
      </c>
      <c r="U141" s="185"/>
      <c r="V141" s="185"/>
      <c r="W141" s="217"/>
      <c r="X141" s="201"/>
    </row>
    <row r="142" spans="1:24" s="197" customFormat="1" ht="28.5" customHeight="1">
      <c r="A142" s="272" t="s">
        <v>283</v>
      </c>
      <c r="B142" s="8" t="s">
        <v>309</v>
      </c>
      <c r="C142" s="25">
        <v>103000</v>
      </c>
      <c r="D142" s="122"/>
      <c r="E142" s="122"/>
      <c r="F142" s="122"/>
      <c r="G142" s="122"/>
      <c r="H142" s="88"/>
      <c r="I142" s="122"/>
      <c r="J142" s="122"/>
      <c r="K142" s="122"/>
      <c r="L142" s="88"/>
      <c r="M142" s="122"/>
      <c r="N142" s="33"/>
      <c r="O142" s="76"/>
      <c r="P142" s="88"/>
      <c r="Q142" s="88"/>
      <c r="R142" s="76"/>
      <c r="S142" s="52"/>
      <c r="T142" s="128">
        <f t="shared" si="13"/>
        <v>103000</v>
      </c>
      <c r="U142" s="185"/>
      <c r="V142" s="185"/>
      <c r="W142" s="195"/>
      <c r="X142" s="201"/>
    </row>
    <row r="143" spans="1:24" ht="15">
      <c r="A143" s="272" t="s">
        <v>344</v>
      </c>
      <c r="B143" s="8" t="s">
        <v>346</v>
      </c>
      <c r="C143" s="52">
        <v>20369</v>
      </c>
      <c r="D143" s="17"/>
      <c r="E143" s="17"/>
      <c r="F143" s="52"/>
      <c r="G143" s="52"/>
      <c r="H143" s="17"/>
      <c r="I143" s="17"/>
      <c r="J143" s="17"/>
      <c r="K143" s="17"/>
      <c r="L143" s="17"/>
      <c r="M143" s="17"/>
      <c r="N143" s="17"/>
      <c r="O143" s="52"/>
      <c r="P143" s="52"/>
      <c r="Q143" s="52">
        <v>69249</v>
      </c>
      <c r="R143" s="52">
        <v>160744</v>
      </c>
      <c r="S143" s="52"/>
      <c r="T143" s="128">
        <f t="shared" si="13"/>
        <v>250362</v>
      </c>
      <c r="U143" s="185"/>
      <c r="V143" s="185"/>
      <c r="W143" s="195"/>
      <c r="X143" s="201"/>
    </row>
    <row r="144" spans="1:24" ht="30">
      <c r="A144" s="282" t="s">
        <v>648</v>
      </c>
      <c r="B144" s="252" t="s">
        <v>580</v>
      </c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>
        <v>232773</v>
      </c>
      <c r="R144" s="52"/>
      <c r="S144" s="52"/>
      <c r="T144" s="128">
        <f t="shared" si="13"/>
        <v>232773</v>
      </c>
      <c r="U144" s="185"/>
      <c r="V144" s="185"/>
      <c r="W144" s="195"/>
      <c r="X144" s="201"/>
    </row>
    <row r="145" spans="1:24" ht="45">
      <c r="A145" s="282" t="s">
        <v>648</v>
      </c>
      <c r="B145" s="251" t="s">
        <v>581</v>
      </c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>
        <f>72076+14000+19949</f>
        <v>106025</v>
      </c>
      <c r="R145" s="52"/>
      <c r="S145" s="52"/>
      <c r="T145" s="128">
        <f t="shared" si="13"/>
        <v>106025</v>
      </c>
      <c r="U145" s="185"/>
      <c r="V145" s="185"/>
      <c r="W145" s="195"/>
      <c r="X145" s="201"/>
    </row>
    <row r="146" spans="1:24" ht="45.75" thickBot="1">
      <c r="A146" s="280" t="s">
        <v>648</v>
      </c>
      <c r="B146" s="15" t="s">
        <v>582</v>
      </c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>
        <v>1481</v>
      </c>
      <c r="R146" s="80"/>
      <c r="S146" s="84"/>
      <c r="T146" s="170">
        <f>SUM(C146:S146)</f>
        <v>1481</v>
      </c>
      <c r="U146" s="185"/>
      <c r="V146" s="185"/>
      <c r="W146" s="195"/>
      <c r="X146" s="201"/>
    </row>
    <row r="147" spans="1:24" ht="15.75" thickBot="1">
      <c r="A147" s="81" t="s">
        <v>6</v>
      </c>
      <c r="B147" s="43" t="s">
        <v>89</v>
      </c>
      <c r="C147" s="45">
        <f aca="true" t="shared" si="22" ref="C147:O147">C148+C152+C174+C177</f>
        <v>2589038</v>
      </c>
      <c r="D147" s="45">
        <f t="shared" si="22"/>
        <v>316387</v>
      </c>
      <c r="E147" s="45">
        <f t="shared" si="22"/>
        <v>850604</v>
      </c>
      <c r="F147" s="45">
        <f t="shared" si="22"/>
        <v>539668</v>
      </c>
      <c r="G147" s="45">
        <f t="shared" si="22"/>
        <v>0</v>
      </c>
      <c r="H147" s="45">
        <f t="shared" si="22"/>
        <v>209260</v>
      </c>
      <c r="I147" s="45">
        <f t="shared" si="22"/>
        <v>102880</v>
      </c>
      <c r="J147" s="45">
        <f t="shared" si="22"/>
        <v>117421</v>
      </c>
      <c r="K147" s="45">
        <f t="shared" si="22"/>
        <v>182737</v>
      </c>
      <c r="L147" s="45">
        <f t="shared" si="22"/>
        <v>39922</v>
      </c>
      <c r="M147" s="45">
        <f t="shared" si="22"/>
        <v>32741</v>
      </c>
      <c r="N147" s="45">
        <f t="shared" si="22"/>
        <v>85874</v>
      </c>
      <c r="O147" s="45">
        <f t="shared" si="22"/>
        <v>58668</v>
      </c>
      <c r="P147" s="45">
        <f>P148+P152+P174+P177+P178</f>
        <v>875554</v>
      </c>
      <c r="Q147" s="45">
        <f>Q148+Q152+Q174+Q177</f>
        <v>1312535</v>
      </c>
      <c r="R147" s="45">
        <f>R148+R152+R174+R177</f>
        <v>787141</v>
      </c>
      <c r="S147" s="45">
        <f>S148+S152+S174+S177</f>
        <v>0</v>
      </c>
      <c r="T147" s="46">
        <f t="shared" si="13"/>
        <v>8100430</v>
      </c>
      <c r="U147" s="185"/>
      <c r="V147" s="185"/>
      <c r="W147" s="201"/>
      <c r="X147" s="201"/>
    </row>
    <row r="148" spans="1:24" ht="15">
      <c r="A148" s="120" t="s">
        <v>90</v>
      </c>
      <c r="B148" s="121" t="s">
        <v>91</v>
      </c>
      <c r="C148" s="122">
        <f>SUM(C149:C151)</f>
        <v>566533</v>
      </c>
      <c r="D148" s="122">
        <f aca="true" t="shared" si="23" ref="D148:S148">SUM(D149:D151)</f>
        <v>316387</v>
      </c>
      <c r="E148" s="122">
        <f t="shared" si="23"/>
        <v>0</v>
      </c>
      <c r="F148" s="122">
        <f>SUM(F149:F151)</f>
        <v>0</v>
      </c>
      <c r="G148" s="122">
        <f t="shared" si="23"/>
        <v>0</v>
      </c>
      <c r="H148" s="122">
        <f t="shared" si="23"/>
        <v>5470</v>
      </c>
      <c r="I148" s="122">
        <f t="shared" si="23"/>
        <v>0</v>
      </c>
      <c r="J148" s="122">
        <f t="shared" si="23"/>
        <v>0</v>
      </c>
      <c r="K148" s="122">
        <f t="shared" si="23"/>
        <v>3559</v>
      </c>
      <c r="L148" s="122">
        <f t="shared" si="23"/>
        <v>0</v>
      </c>
      <c r="M148" s="122">
        <f t="shared" si="23"/>
        <v>0</v>
      </c>
      <c r="N148" s="122">
        <f t="shared" si="23"/>
        <v>10961</v>
      </c>
      <c r="O148" s="122">
        <f>SUM(O149:O151)</f>
        <v>0</v>
      </c>
      <c r="P148" s="122">
        <f>SUM(P149:P151)</f>
        <v>0</v>
      </c>
      <c r="Q148" s="122">
        <f>SUM(Q149:Q151)</f>
        <v>197655</v>
      </c>
      <c r="R148" s="122">
        <f t="shared" si="23"/>
        <v>85394</v>
      </c>
      <c r="S148" s="122">
        <f t="shared" si="23"/>
        <v>0</v>
      </c>
      <c r="T148" s="50">
        <f aca="true" t="shared" si="24" ref="T148:T211">SUM(C148:S148)</f>
        <v>1185959</v>
      </c>
      <c r="U148" s="185"/>
      <c r="V148" s="185"/>
      <c r="W148" s="195"/>
      <c r="X148" s="201"/>
    </row>
    <row r="149" spans="1:24" ht="15">
      <c r="A149" s="51" t="s">
        <v>206</v>
      </c>
      <c r="B149" s="24" t="s">
        <v>92</v>
      </c>
      <c r="C149" s="52">
        <v>66387</v>
      </c>
      <c r="D149" s="17"/>
      <c r="E149" s="17"/>
      <c r="F149" s="52"/>
      <c r="G149" s="52"/>
      <c r="H149" s="17">
        <v>5470</v>
      </c>
      <c r="I149" s="17"/>
      <c r="J149" s="17"/>
      <c r="K149" s="17">
        <v>3559</v>
      </c>
      <c r="L149" s="17"/>
      <c r="M149" s="17"/>
      <c r="N149" s="17">
        <v>10961</v>
      </c>
      <c r="O149" s="52"/>
      <c r="P149" s="52"/>
      <c r="Q149" s="52">
        <f>179763-1058</f>
        <v>178705</v>
      </c>
      <c r="R149" s="52">
        <v>85394</v>
      </c>
      <c r="S149" s="52"/>
      <c r="T149" s="128">
        <f t="shared" si="24"/>
        <v>350476</v>
      </c>
      <c r="U149" s="185"/>
      <c r="V149" s="185"/>
      <c r="W149" s="195"/>
      <c r="X149" s="201"/>
    </row>
    <row r="150" spans="1:24" ht="30">
      <c r="A150" s="51" t="s">
        <v>207</v>
      </c>
      <c r="B150" s="24" t="s">
        <v>93</v>
      </c>
      <c r="C150" s="52">
        <f>412612+87534</f>
        <v>500146</v>
      </c>
      <c r="D150" s="17"/>
      <c r="E150" s="17"/>
      <c r="F150" s="52"/>
      <c r="G150" s="52"/>
      <c r="H150" s="17"/>
      <c r="I150" s="17"/>
      <c r="J150" s="17"/>
      <c r="K150" s="17"/>
      <c r="L150" s="17"/>
      <c r="M150" s="17"/>
      <c r="N150" s="17"/>
      <c r="O150" s="52"/>
      <c r="P150" s="52"/>
      <c r="Q150" s="52">
        <v>18950</v>
      </c>
      <c r="R150" s="52"/>
      <c r="S150" s="52"/>
      <c r="T150" s="128">
        <f t="shared" si="24"/>
        <v>519096</v>
      </c>
      <c r="U150" s="185"/>
      <c r="V150" s="185"/>
      <c r="W150" s="195"/>
      <c r="X150" s="201"/>
    </row>
    <row r="151" spans="1:24" ht="15">
      <c r="A151" s="51" t="s">
        <v>273</v>
      </c>
      <c r="B151" s="24" t="s">
        <v>274</v>
      </c>
      <c r="C151" s="52"/>
      <c r="D151" s="52">
        <f>345453-29066</f>
        <v>316387</v>
      </c>
      <c r="E151" s="52"/>
      <c r="F151" s="52"/>
      <c r="G151" s="52"/>
      <c r="H151" s="17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128">
        <f t="shared" si="24"/>
        <v>316387</v>
      </c>
      <c r="U151" s="185"/>
      <c r="V151" s="185"/>
      <c r="W151" s="195"/>
      <c r="X151" s="201"/>
    </row>
    <row r="152" spans="1:24" ht="15">
      <c r="A152" s="127" t="s">
        <v>94</v>
      </c>
      <c r="B152" s="129" t="s">
        <v>5</v>
      </c>
      <c r="C152" s="93">
        <f>SUM(C153+C154+C158+C164)</f>
        <v>1897434</v>
      </c>
      <c r="D152" s="93">
        <f aca="true" t="shared" si="25" ref="D152:S152">SUM(D153+D154+D158+D164)</f>
        <v>0</v>
      </c>
      <c r="E152" s="93">
        <f t="shared" si="25"/>
        <v>850604</v>
      </c>
      <c r="F152" s="93">
        <f>SUM(F153+F154+F158+F164)</f>
        <v>539668</v>
      </c>
      <c r="G152" s="93">
        <f t="shared" si="25"/>
        <v>0</v>
      </c>
      <c r="H152" s="93">
        <f t="shared" si="25"/>
        <v>203790</v>
      </c>
      <c r="I152" s="93">
        <f t="shared" si="25"/>
        <v>102880</v>
      </c>
      <c r="J152" s="93">
        <f t="shared" si="25"/>
        <v>113487</v>
      </c>
      <c r="K152" s="93">
        <f t="shared" si="25"/>
        <v>175079</v>
      </c>
      <c r="L152" s="93">
        <f t="shared" si="25"/>
        <v>39922</v>
      </c>
      <c r="M152" s="93">
        <f t="shared" si="25"/>
        <v>32741</v>
      </c>
      <c r="N152" s="93">
        <f t="shared" si="25"/>
        <v>74913</v>
      </c>
      <c r="O152" s="93">
        <f t="shared" si="25"/>
        <v>58668</v>
      </c>
      <c r="P152" s="93">
        <f>SUM(P153+P154+P158+P163+P164)</f>
        <v>639701</v>
      </c>
      <c r="Q152" s="93">
        <f t="shared" si="25"/>
        <v>1036144</v>
      </c>
      <c r="R152" s="93">
        <f>SUM(R153+R154+R158+R164)</f>
        <v>701747</v>
      </c>
      <c r="S152" s="93">
        <f t="shared" si="25"/>
        <v>0</v>
      </c>
      <c r="T152" s="128">
        <f t="shared" si="24"/>
        <v>6466778</v>
      </c>
      <c r="U152" s="185"/>
      <c r="V152" s="185"/>
      <c r="W152" s="201"/>
      <c r="X152" s="201"/>
    </row>
    <row r="153" spans="1:24" ht="15">
      <c r="A153" s="51" t="s">
        <v>324</v>
      </c>
      <c r="B153" s="24" t="s">
        <v>142</v>
      </c>
      <c r="C153" s="52">
        <f>367416+300000+12100+2000+20000+1000</f>
        <v>702516</v>
      </c>
      <c r="D153" s="17"/>
      <c r="E153" s="17"/>
      <c r="F153" s="52"/>
      <c r="G153" s="52"/>
      <c r="H153" s="230">
        <v>31470</v>
      </c>
      <c r="I153" s="17">
        <v>29896</v>
      </c>
      <c r="J153" s="17">
        <v>14742</v>
      </c>
      <c r="K153" s="17">
        <v>32008</v>
      </c>
      <c r="L153" s="17">
        <v>16374</v>
      </c>
      <c r="M153" s="17">
        <v>13903</v>
      </c>
      <c r="N153" s="219">
        <v>16033</v>
      </c>
      <c r="O153" s="56">
        <v>18919</v>
      </c>
      <c r="P153" s="219">
        <v>128354</v>
      </c>
      <c r="Q153" s="219">
        <f>179249+1515</f>
        <v>180764</v>
      </c>
      <c r="R153" s="56">
        <v>152768</v>
      </c>
      <c r="S153" s="52"/>
      <c r="T153" s="128">
        <f t="shared" si="24"/>
        <v>1337747</v>
      </c>
      <c r="U153" s="185"/>
      <c r="V153" s="185"/>
      <c r="W153" s="195"/>
      <c r="X153" s="201"/>
    </row>
    <row r="154" spans="1:24" ht="15">
      <c r="A154" s="51" t="s">
        <v>362</v>
      </c>
      <c r="B154" s="24" t="s">
        <v>124</v>
      </c>
      <c r="C154" s="52">
        <f aca="true" t="shared" si="26" ref="C154:O154">SUM(C155:C157)</f>
        <v>192280</v>
      </c>
      <c r="D154" s="52">
        <f>SUM(D155:D157)</f>
        <v>0</v>
      </c>
      <c r="E154" s="52">
        <f t="shared" si="26"/>
        <v>0</v>
      </c>
      <c r="F154" s="52">
        <f>SUM(F155:F157)</f>
        <v>0</v>
      </c>
      <c r="G154" s="52">
        <f t="shared" si="26"/>
        <v>0</v>
      </c>
      <c r="H154" s="52">
        <f t="shared" si="26"/>
        <v>0</v>
      </c>
      <c r="I154" s="52">
        <f t="shared" si="26"/>
        <v>0</v>
      </c>
      <c r="J154" s="52">
        <f t="shared" si="26"/>
        <v>0</v>
      </c>
      <c r="K154" s="52">
        <f t="shared" si="26"/>
        <v>0</v>
      </c>
      <c r="L154" s="52">
        <f t="shared" si="26"/>
        <v>0</v>
      </c>
      <c r="M154" s="52">
        <f t="shared" si="26"/>
        <v>0</v>
      </c>
      <c r="N154" s="52">
        <f t="shared" si="26"/>
        <v>12608</v>
      </c>
      <c r="O154" s="52">
        <f t="shared" si="26"/>
        <v>0</v>
      </c>
      <c r="P154" s="52">
        <f>SUM(P155:P157)</f>
        <v>37635</v>
      </c>
      <c r="Q154" s="52">
        <f>SUM(Q155:Q157)</f>
        <v>100476</v>
      </c>
      <c r="R154" s="52">
        <f>SUM(R155:R157)</f>
        <v>0</v>
      </c>
      <c r="S154" s="52">
        <f>SUM(S155:S157)</f>
        <v>0</v>
      </c>
      <c r="T154" s="128">
        <f t="shared" si="24"/>
        <v>342999</v>
      </c>
      <c r="U154" s="185"/>
      <c r="V154" s="185"/>
      <c r="W154" s="195"/>
      <c r="X154" s="201"/>
    </row>
    <row r="155" spans="1:24" ht="15">
      <c r="A155" s="51" t="s">
        <v>208</v>
      </c>
      <c r="B155" s="24" t="s">
        <v>254</v>
      </c>
      <c r="C155" s="52">
        <v>192280</v>
      </c>
      <c r="D155" s="17"/>
      <c r="E155" s="17"/>
      <c r="F155" s="52"/>
      <c r="G155" s="52"/>
      <c r="H155" s="17"/>
      <c r="I155" s="17"/>
      <c r="J155" s="17"/>
      <c r="K155" s="17"/>
      <c r="L155" s="17"/>
      <c r="M155" s="17"/>
      <c r="N155" s="17"/>
      <c r="O155" s="56"/>
      <c r="P155" s="17">
        <v>20626</v>
      </c>
      <c r="Q155" s="17">
        <f>98516+1960</f>
        <v>100476</v>
      </c>
      <c r="R155" s="56"/>
      <c r="S155" s="52"/>
      <c r="T155" s="128">
        <f t="shared" si="24"/>
        <v>313382</v>
      </c>
      <c r="U155" s="185"/>
      <c r="V155" s="185"/>
      <c r="W155" s="195"/>
      <c r="X155" s="201"/>
    </row>
    <row r="156" spans="1:24" ht="15">
      <c r="A156" s="51" t="s">
        <v>332</v>
      </c>
      <c r="B156" s="35" t="s">
        <v>539</v>
      </c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17">
        <v>12608</v>
      </c>
      <c r="O156" s="56"/>
      <c r="P156" s="17"/>
      <c r="Q156" s="17"/>
      <c r="R156" s="56"/>
      <c r="S156" s="52"/>
      <c r="T156" s="128">
        <f t="shared" si="24"/>
        <v>12608</v>
      </c>
      <c r="U156" s="185"/>
      <c r="V156" s="185"/>
      <c r="W156" s="195"/>
      <c r="X156" s="201"/>
    </row>
    <row r="157" spans="1:24" ht="15">
      <c r="A157" s="151" t="s">
        <v>94</v>
      </c>
      <c r="B157" s="35" t="s">
        <v>540</v>
      </c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17"/>
      <c r="O157" s="56"/>
      <c r="P157" s="52">
        <v>17009</v>
      </c>
      <c r="Q157" s="17"/>
      <c r="R157" s="56"/>
      <c r="S157" s="52"/>
      <c r="T157" s="128">
        <f t="shared" si="24"/>
        <v>17009</v>
      </c>
      <c r="U157" s="185"/>
      <c r="V157" s="185"/>
      <c r="W157" s="195"/>
      <c r="X157" s="201"/>
    </row>
    <row r="158" spans="1:24" ht="15">
      <c r="A158" s="51" t="s">
        <v>95</v>
      </c>
      <c r="B158" s="24" t="s">
        <v>363</v>
      </c>
      <c r="C158" s="52">
        <f>SUM(C159:C162)</f>
        <v>0</v>
      </c>
      <c r="D158" s="52">
        <f aca="true" t="shared" si="27" ref="D158:S158">SUM(D159:D162)</f>
        <v>0</v>
      </c>
      <c r="E158" s="52">
        <f t="shared" si="27"/>
        <v>850604</v>
      </c>
      <c r="F158" s="52">
        <f t="shared" si="27"/>
        <v>539668</v>
      </c>
      <c r="G158" s="52">
        <f t="shared" si="27"/>
        <v>0</v>
      </c>
      <c r="H158" s="52">
        <f t="shared" si="27"/>
        <v>172320</v>
      </c>
      <c r="I158" s="52">
        <f t="shared" si="27"/>
        <v>72984</v>
      </c>
      <c r="J158" s="52">
        <f t="shared" si="27"/>
        <v>98745</v>
      </c>
      <c r="K158" s="52">
        <f t="shared" si="27"/>
        <v>138938</v>
      </c>
      <c r="L158" s="52">
        <f t="shared" si="27"/>
        <v>23548</v>
      </c>
      <c r="M158" s="52">
        <f t="shared" si="27"/>
        <v>18838</v>
      </c>
      <c r="N158" s="52">
        <f t="shared" si="27"/>
        <v>46272</v>
      </c>
      <c r="O158" s="52">
        <f t="shared" si="27"/>
        <v>36431</v>
      </c>
      <c r="P158" s="52">
        <f t="shared" si="27"/>
        <v>458393</v>
      </c>
      <c r="Q158" s="52">
        <f>SUM(Q159:Q161)</f>
        <v>551482</v>
      </c>
      <c r="R158" s="52">
        <f t="shared" si="27"/>
        <v>530237</v>
      </c>
      <c r="S158" s="52">
        <f t="shared" si="27"/>
        <v>0</v>
      </c>
      <c r="T158" s="128">
        <f t="shared" si="24"/>
        <v>3538460</v>
      </c>
      <c r="U158" s="185"/>
      <c r="V158" s="185"/>
      <c r="W158" s="195"/>
      <c r="X158" s="201"/>
    </row>
    <row r="159" spans="1:24" ht="15">
      <c r="A159" s="51" t="s">
        <v>284</v>
      </c>
      <c r="B159" s="24" t="s">
        <v>311</v>
      </c>
      <c r="C159" s="52"/>
      <c r="D159" s="17"/>
      <c r="E159" s="17">
        <f>385884-155280</f>
        <v>230604</v>
      </c>
      <c r="F159" s="52">
        <f>77091-774</f>
        <v>76317</v>
      </c>
      <c r="G159" s="52"/>
      <c r="H159" s="230">
        <v>172320</v>
      </c>
      <c r="I159" s="17">
        <v>72984</v>
      </c>
      <c r="J159" s="17">
        <v>78470</v>
      </c>
      <c r="K159" s="17">
        <v>138938</v>
      </c>
      <c r="L159" s="17">
        <v>23548</v>
      </c>
      <c r="M159" s="17">
        <v>18838</v>
      </c>
      <c r="N159" s="219">
        <v>46272</v>
      </c>
      <c r="O159" s="56">
        <v>36431</v>
      </c>
      <c r="P159" s="219">
        <v>458393</v>
      </c>
      <c r="Q159" s="219">
        <f>551384+1058-960</f>
        <v>551482</v>
      </c>
      <c r="R159" s="56">
        <v>448188</v>
      </c>
      <c r="S159" s="52"/>
      <c r="T159" s="128">
        <f t="shared" si="24"/>
        <v>2352785</v>
      </c>
      <c r="U159" s="185"/>
      <c r="V159" s="185"/>
      <c r="W159" s="195"/>
      <c r="X159" s="201"/>
    </row>
    <row r="160" spans="1:24" ht="15">
      <c r="A160" s="51" t="s">
        <v>333</v>
      </c>
      <c r="B160" s="24" t="s">
        <v>364</v>
      </c>
      <c r="C160" s="52"/>
      <c r="D160" s="17"/>
      <c r="E160" s="17"/>
      <c r="F160" s="52"/>
      <c r="G160" s="52"/>
      <c r="H160" s="57"/>
      <c r="I160" s="17"/>
      <c r="J160" s="17">
        <v>20275</v>
      </c>
      <c r="K160" s="17"/>
      <c r="L160" s="17"/>
      <c r="M160" s="17"/>
      <c r="N160" s="17"/>
      <c r="O160" s="56"/>
      <c r="P160" s="17"/>
      <c r="Q160" s="17"/>
      <c r="R160" s="56"/>
      <c r="S160" s="52"/>
      <c r="T160" s="128">
        <f t="shared" si="24"/>
        <v>20275</v>
      </c>
      <c r="U160" s="185"/>
      <c r="V160" s="185"/>
      <c r="W160" s="195"/>
      <c r="X160" s="201"/>
    </row>
    <row r="161" spans="1:24" ht="15">
      <c r="A161" s="51" t="s">
        <v>310</v>
      </c>
      <c r="B161" s="24" t="s">
        <v>125</v>
      </c>
      <c r="C161" s="52"/>
      <c r="D161" s="17"/>
      <c r="E161" s="17">
        <f>1069126+12832+893-462851</f>
        <v>620000</v>
      </c>
      <c r="F161" s="52">
        <f>462851+500</f>
        <v>463351</v>
      </c>
      <c r="G161" s="52"/>
      <c r="H161" s="17"/>
      <c r="I161" s="17"/>
      <c r="J161" s="17"/>
      <c r="K161" s="17"/>
      <c r="L161" s="17"/>
      <c r="M161" s="17"/>
      <c r="N161" s="17"/>
      <c r="O161" s="52"/>
      <c r="P161" s="52"/>
      <c r="Q161" s="52"/>
      <c r="R161" s="52"/>
      <c r="S161" s="52"/>
      <c r="T161" s="128">
        <f t="shared" si="24"/>
        <v>1083351</v>
      </c>
      <c r="U161" s="185"/>
      <c r="V161" s="185"/>
      <c r="W161" s="195"/>
      <c r="X161" s="201"/>
    </row>
    <row r="162" spans="1:24" ht="15">
      <c r="A162" s="151" t="s">
        <v>94</v>
      </c>
      <c r="B162" s="24" t="s">
        <v>640</v>
      </c>
      <c r="C162" s="52"/>
      <c r="D162" s="17"/>
      <c r="E162" s="17"/>
      <c r="F162" s="52"/>
      <c r="G162" s="52"/>
      <c r="H162" s="17"/>
      <c r="I162" s="17"/>
      <c r="J162" s="17"/>
      <c r="K162" s="17"/>
      <c r="L162" s="17"/>
      <c r="M162" s="17"/>
      <c r="N162" s="17"/>
      <c r="O162" s="52"/>
      <c r="P162" s="52"/>
      <c r="Q162" s="52"/>
      <c r="R162" s="52">
        <v>82049</v>
      </c>
      <c r="S162" s="52"/>
      <c r="T162" s="128">
        <f t="shared" si="24"/>
        <v>82049</v>
      </c>
      <c r="U162" s="185"/>
      <c r="V162" s="185"/>
      <c r="W162" s="195"/>
      <c r="X162" s="201"/>
    </row>
    <row r="163" spans="1:24" ht="15">
      <c r="A163" s="151" t="s">
        <v>94</v>
      </c>
      <c r="B163" s="24" t="s">
        <v>541</v>
      </c>
      <c r="C163" s="52"/>
      <c r="D163" s="17"/>
      <c r="E163" s="17"/>
      <c r="F163" s="52"/>
      <c r="G163" s="52"/>
      <c r="H163" s="17"/>
      <c r="I163" s="17"/>
      <c r="J163" s="17"/>
      <c r="K163" s="17"/>
      <c r="L163" s="17"/>
      <c r="M163" s="17"/>
      <c r="N163" s="17"/>
      <c r="O163" s="52"/>
      <c r="P163" s="52">
        <v>15319</v>
      </c>
      <c r="Q163" s="52"/>
      <c r="R163" s="52"/>
      <c r="S163" s="52"/>
      <c r="T163" s="128">
        <f t="shared" si="24"/>
        <v>15319</v>
      </c>
      <c r="U163" s="185"/>
      <c r="V163" s="185"/>
      <c r="W163" s="195"/>
      <c r="X163" s="201"/>
    </row>
    <row r="164" spans="1:24" s="197" customFormat="1" ht="15">
      <c r="A164" s="127" t="s">
        <v>96</v>
      </c>
      <c r="B164" s="90" t="s">
        <v>209</v>
      </c>
      <c r="C164" s="33">
        <f>SUM(C165:C173)</f>
        <v>1002638</v>
      </c>
      <c r="D164" s="33">
        <f aca="true" t="shared" si="28" ref="D164:O164">SUM(D165:D172)</f>
        <v>0</v>
      </c>
      <c r="E164" s="33">
        <f t="shared" si="28"/>
        <v>0</v>
      </c>
      <c r="F164" s="33">
        <f t="shared" si="28"/>
        <v>0</v>
      </c>
      <c r="G164" s="33">
        <f t="shared" si="28"/>
        <v>0</v>
      </c>
      <c r="H164" s="33">
        <f t="shared" si="28"/>
        <v>0</v>
      </c>
      <c r="I164" s="33">
        <f t="shared" si="28"/>
        <v>0</v>
      </c>
      <c r="J164" s="33">
        <f t="shared" si="28"/>
        <v>0</v>
      </c>
      <c r="K164" s="33">
        <f t="shared" si="28"/>
        <v>4133</v>
      </c>
      <c r="L164" s="33">
        <f t="shared" si="28"/>
        <v>0</v>
      </c>
      <c r="M164" s="33">
        <f t="shared" si="28"/>
        <v>0</v>
      </c>
      <c r="N164" s="33">
        <f t="shared" si="28"/>
        <v>0</v>
      </c>
      <c r="O164" s="33">
        <f t="shared" si="28"/>
        <v>3318</v>
      </c>
      <c r="P164" s="33">
        <f>SUM(P165:P173)</f>
        <v>0</v>
      </c>
      <c r="Q164" s="33">
        <f>SUM(Q165:Q172)</f>
        <v>203422</v>
      </c>
      <c r="R164" s="93">
        <f>SUM(R165:R172)</f>
        <v>18742</v>
      </c>
      <c r="S164" s="93">
        <f>SUM(S165:S172)</f>
        <v>0</v>
      </c>
      <c r="T164" s="128">
        <f t="shared" si="24"/>
        <v>1232253</v>
      </c>
      <c r="U164" s="185"/>
      <c r="V164" s="185"/>
      <c r="W164" s="195"/>
      <c r="X164" s="201"/>
    </row>
    <row r="165" spans="1:24" ht="15">
      <c r="A165" s="51" t="s">
        <v>210</v>
      </c>
      <c r="B165" s="35" t="s">
        <v>285</v>
      </c>
      <c r="C165" s="131">
        <f>72604+4000-4000</f>
        <v>72604</v>
      </c>
      <c r="D165" s="17"/>
      <c r="E165" s="17"/>
      <c r="F165" s="52"/>
      <c r="G165" s="52"/>
      <c r="H165" s="17"/>
      <c r="I165" s="17"/>
      <c r="J165" s="17"/>
      <c r="K165" s="17"/>
      <c r="L165" s="17"/>
      <c r="M165" s="17"/>
      <c r="N165" s="17"/>
      <c r="O165" s="52">
        <v>2500</v>
      </c>
      <c r="P165" s="52"/>
      <c r="Q165" s="52">
        <f>205337-1915</f>
        <v>203422</v>
      </c>
      <c r="R165" s="52">
        <v>18742</v>
      </c>
      <c r="S165" s="52"/>
      <c r="T165" s="128">
        <f t="shared" si="24"/>
        <v>297268</v>
      </c>
      <c r="U165" s="185"/>
      <c r="V165" s="185"/>
      <c r="W165" s="195"/>
      <c r="X165" s="201"/>
    </row>
    <row r="166" spans="1:24" ht="15">
      <c r="A166" s="51" t="s">
        <v>211</v>
      </c>
      <c r="B166" s="35" t="s">
        <v>126</v>
      </c>
      <c r="C166" s="52">
        <f>153525+70000+91033</f>
        <v>314558</v>
      </c>
      <c r="D166" s="17"/>
      <c r="E166" s="17"/>
      <c r="F166" s="52"/>
      <c r="G166" s="52"/>
      <c r="H166" s="17"/>
      <c r="I166" s="17"/>
      <c r="J166" s="17"/>
      <c r="K166" s="17"/>
      <c r="L166" s="17"/>
      <c r="M166" s="17"/>
      <c r="N166" s="17"/>
      <c r="O166" s="52"/>
      <c r="P166" s="52"/>
      <c r="Q166" s="52"/>
      <c r="R166" s="52"/>
      <c r="S166" s="52"/>
      <c r="T166" s="128">
        <f t="shared" si="24"/>
        <v>314558</v>
      </c>
      <c r="U166" s="185"/>
      <c r="V166" s="185"/>
      <c r="W166" s="195"/>
      <c r="X166" s="201"/>
    </row>
    <row r="167" spans="1:24" ht="30">
      <c r="A167" s="51" t="s">
        <v>304</v>
      </c>
      <c r="B167" s="35" t="s">
        <v>411</v>
      </c>
      <c r="C167" s="131">
        <f>20000-6579</f>
        <v>13421</v>
      </c>
      <c r="D167" s="17"/>
      <c r="E167" s="17"/>
      <c r="F167" s="52"/>
      <c r="G167" s="52"/>
      <c r="H167" s="17"/>
      <c r="I167" s="17"/>
      <c r="J167" s="17"/>
      <c r="K167" s="17">
        <v>4133</v>
      </c>
      <c r="L167" s="17"/>
      <c r="M167" s="17"/>
      <c r="N167" s="17"/>
      <c r="O167" s="52">
        <v>818</v>
      </c>
      <c r="P167" s="52"/>
      <c r="Q167" s="52"/>
      <c r="R167" s="52"/>
      <c r="S167" s="52"/>
      <c r="T167" s="128">
        <f t="shared" si="24"/>
        <v>18372</v>
      </c>
      <c r="U167" s="185"/>
      <c r="V167" s="185"/>
      <c r="W167" s="195"/>
      <c r="X167" s="201"/>
    </row>
    <row r="168" spans="1:24" ht="45">
      <c r="A168" s="51" t="s">
        <v>262</v>
      </c>
      <c r="B168" s="161" t="s">
        <v>412</v>
      </c>
      <c r="C168" s="52">
        <v>20000</v>
      </c>
      <c r="D168" s="17"/>
      <c r="E168" s="17"/>
      <c r="F168" s="52"/>
      <c r="G168" s="52"/>
      <c r="H168" s="17"/>
      <c r="I168" s="17"/>
      <c r="J168" s="17"/>
      <c r="K168" s="17"/>
      <c r="L168" s="17"/>
      <c r="M168" s="17"/>
      <c r="N168" s="17"/>
      <c r="O168" s="52"/>
      <c r="P168" s="52"/>
      <c r="Q168" s="52"/>
      <c r="R168" s="52"/>
      <c r="S168" s="52"/>
      <c r="T168" s="128">
        <f t="shared" si="24"/>
        <v>20000</v>
      </c>
      <c r="U168" s="185"/>
      <c r="V168" s="185"/>
      <c r="W168" s="195"/>
      <c r="X168" s="201"/>
    </row>
    <row r="169" spans="1:24" ht="47.25">
      <c r="A169" s="11" t="s">
        <v>365</v>
      </c>
      <c r="B169" s="14" t="s">
        <v>413</v>
      </c>
      <c r="C169" s="52">
        <v>47418</v>
      </c>
      <c r="D169" s="17"/>
      <c r="E169" s="17"/>
      <c r="F169" s="52"/>
      <c r="G169" s="52"/>
      <c r="H169" s="17"/>
      <c r="I169" s="17"/>
      <c r="J169" s="17"/>
      <c r="K169" s="17"/>
      <c r="L169" s="17"/>
      <c r="M169" s="17"/>
      <c r="N169" s="17"/>
      <c r="O169" s="52"/>
      <c r="P169" s="52"/>
      <c r="Q169" s="52"/>
      <c r="R169" s="52"/>
      <c r="S169" s="52"/>
      <c r="T169" s="128">
        <f t="shared" si="24"/>
        <v>47418</v>
      </c>
      <c r="U169" s="185"/>
      <c r="V169" s="185"/>
      <c r="W169" s="195"/>
      <c r="X169" s="201"/>
    </row>
    <row r="170" spans="1:24" ht="30">
      <c r="A170" s="11" t="s">
        <v>426</v>
      </c>
      <c r="B170" s="27" t="s">
        <v>427</v>
      </c>
      <c r="C170" s="52">
        <f>61672-29762</f>
        <v>31910</v>
      </c>
      <c r="D170" s="17"/>
      <c r="E170" s="17"/>
      <c r="F170" s="52"/>
      <c r="G170" s="52"/>
      <c r="H170" s="17"/>
      <c r="I170" s="17"/>
      <c r="J170" s="17"/>
      <c r="K170" s="17"/>
      <c r="L170" s="17"/>
      <c r="M170" s="17"/>
      <c r="N170" s="17"/>
      <c r="O170" s="52"/>
      <c r="P170" s="52"/>
      <c r="Q170" s="52"/>
      <c r="R170" s="52"/>
      <c r="S170" s="52"/>
      <c r="T170" s="128">
        <f t="shared" si="24"/>
        <v>31910</v>
      </c>
      <c r="U170" s="185"/>
      <c r="V170" s="185"/>
      <c r="W170" s="195"/>
      <c r="X170" s="201"/>
    </row>
    <row r="171" spans="1:24" ht="30">
      <c r="A171" s="11" t="s">
        <v>430</v>
      </c>
      <c r="B171" s="27" t="s">
        <v>472</v>
      </c>
      <c r="C171" s="52">
        <f>22192-5624</f>
        <v>16568</v>
      </c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128">
        <f t="shared" si="24"/>
        <v>16568</v>
      </c>
      <c r="U171" s="185"/>
      <c r="V171" s="185"/>
      <c r="W171" s="195"/>
      <c r="X171" s="201"/>
    </row>
    <row r="172" spans="1:24" ht="15">
      <c r="A172" s="11" t="s">
        <v>526</v>
      </c>
      <c r="B172" s="234" t="s">
        <v>527</v>
      </c>
      <c r="C172" s="52">
        <v>20000</v>
      </c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128">
        <f t="shared" si="24"/>
        <v>20000</v>
      </c>
      <c r="U172" s="185"/>
      <c r="V172" s="185"/>
      <c r="W172" s="195"/>
      <c r="X172" s="201"/>
    </row>
    <row r="173" spans="1:24" ht="30">
      <c r="A173" s="11" t="s">
        <v>613</v>
      </c>
      <c r="B173" s="234" t="s">
        <v>614</v>
      </c>
      <c r="C173" s="52">
        <f>382500+67500+16159</f>
        <v>466159</v>
      </c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128">
        <f t="shared" si="24"/>
        <v>466159</v>
      </c>
      <c r="U173" s="185"/>
      <c r="V173" s="185"/>
      <c r="W173" s="195"/>
      <c r="X173" s="201"/>
    </row>
    <row r="174" spans="1:24" ht="15">
      <c r="A174" s="127" t="s">
        <v>312</v>
      </c>
      <c r="B174" s="162" t="s">
        <v>313</v>
      </c>
      <c r="C174" s="52">
        <f>SUM(C175:C176)</f>
        <v>114489</v>
      </c>
      <c r="D174" s="52">
        <f aca="true" t="shared" si="29" ref="D174:S174">SUM(D175:D176)</f>
        <v>0</v>
      </c>
      <c r="E174" s="52">
        <f t="shared" si="29"/>
        <v>0</v>
      </c>
      <c r="F174" s="52">
        <f>SUM(F175:F176)</f>
        <v>0</v>
      </c>
      <c r="G174" s="52">
        <f t="shared" si="29"/>
        <v>0</v>
      </c>
      <c r="H174" s="52">
        <f t="shared" si="29"/>
        <v>0</v>
      </c>
      <c r="I174" s="52">
        <f t="shared" si="29"/>
        <v>0</v>
      </c>
      <c r="J174" s="52">
        <f t="shared" si="29"/>
        <v>3934</v>
      </c>
      <c r="K174" s="52">
        <f t="shared" si="29"/>
        <v>4099</v>
      </c>
      <c r="L174" s="52">
        <f t="shared" si="29"/>
        <v>0</v>
      </c>
      <c r="M174" s="52">
        <f t="shared" si="29"/>
        <v>0</v>
      </c>
      <c r="N174" s="52">
        <f t="shared" si="29"/>
        <v>0</v>
      </c>
      <c r="O174" s="52">
        <f>SUM(O175:O176)</f>
        <v>0</v>
      </c>
      <c r="P174" s="52">
        <f>SUM(P175:P176)</f>
        <v>11230</v>
      </c>
      <c r="Q174" s="52">
        <v>78736</v>
      </c>
      <c r="R174" s="52">
        <f t="shared" si="29"/>
        <v>0</v>
      </c>
      <c r="S174" s="52">
        <f t="shared" si="29"/>
        <v>0</v>
      </c>
      <c r="T174" s="128">
        <f t="shared" si="24"/>
        <v>212488</v>
      </c>
      <c r="U174" s="185"/>
      <c r="V174" s="185"/>
      <c r="W174" s="195"/>
      <c r="X174" s="201"/>
    </row>
    <row r="175" spans="1:24" ht="15">
      <c r="A175" s="10" t="s">
        <v>334</v>
      </c>
      <c r="B175" s="90" t="s">
        <v>97</v>
      </c>
      <c r="C175" s="163">
        <f>23600+4000+5000</f>
        <v>32600</v>
      </c>
      <c r="D175" s="33"/>
      <c r="E175" s="33"/>
      <c r="F175" s="93"/>
      <c r="G175" s="93"/>
      <c r="H175" s="17"/>
      <c r="I175" s="17"/>
      <c r="J175" s="17"/>
      <c r="K175" s="17">
        <v>2300</v>
      </c>
      <c r="L175" s="17"/>
      <c r="M175" s="17"/>
      <c r="N175" s="17"/>
      <c r="O175" s="52"/>
      <c r="P175" s="52"/>
      <c r="Q175" s="52"/>
      <c r="R175" s="52"/>
      <c r="S175" s="52"/>
      <c r="T175" s="128">
        <f t="shared" si="24"/>
        <v>34900</v>
      </c>
      <c r="U175" s="185"/>
      <c r="V175" s="185"/>
      <c r="W175" s="195"/>
      <c r="X175" s="201"/>
    </row>
    <row r="176" spans="1:24" ht="29.25">
      <c r="A176" s="10" t="s">
        <v>335</v>
      </c>
      <c r="B176" s="90" t="s">
        <v>98</v>
      </c>
      <c r="C176" s="93">
        <f>70747-5858+17000</f>
        <v>81889</v>
      </c>
      <c r="D176" s="33"/>
      <c r="E176" s="33"/>
      <c r="F176" s="93"/>
      <c r="G176" s="93"/>
      <c r="H176" s="17"/>
      <c r="I176" s="17"/>
      <c r="J176" s="17">
        <v>3934</v>
      </c>
      <c r="K176" s="17">
        <v>1799</v>
      </c>
      <c r="L176" s="17"/>
      <c r="M176" s="17"/>
      <c r="N176" s="17"/>
      <c r="O176" s="52"/>
      <c r="P176" s="52">
        <v>11230</v>
      </c>
      <c r="Q176" s="52">
        <v>78736</v>
      </c>
      <c r="R176" s="52"/>
      <c r="S176" s="52"/>
      <c r="T176" s="128">
        <f t="shared" si="24"/>
        <v>177588</v>
      </c>
      <c r="U176" s="185"/>
      <c r="V176" s="185"/>
      <c r="W176" s="195"/>
      <c r="X176" s="201"/>
    </row>
    <row r="177" spans="1:24" ht="43.5">
      <c r="A177" s="241" t="s">
        <v>536</v>
      </c>
      <c r="B177" s="164" t="s">
        <v>462</v>
      </c>
      <c r="C177" s="147">
        <f>15000-4418</f>
        <v>10582</v>
      </c>
      <c r="D177" s="165"/>
      <c r="E177" s="165"/>
      <c r="F177" s="147"/>
      <c r="G177" s="147"/>
      <c r="H177" s="79"/>
      <c r="I177" s="79"/>
      <c r="J177" s="79"/>
      <c r="K177" s="79"/>
      <c r="L177" s="79"/>
      <c r="M177" s="79"/>
      <c r="N177" s="79"/>
      <c r="O177" s="80"/>
      <c r="P177" s="80"/>
      <c r="Q177" s="80"/>
      <c r="R177" s="52"/>
      <c r="S177" s="52"/>
      <c r="T177" s="128">
        <f t="shared" si="24"/>
        <v>10582</v>
      </c>
      <c r="U177" s="185"/>
      <c r="V177" s="185"/>
      <c r="W177" s="195"/>
      <c r="X177" s="201"/>
    </row>
    <row r="178" spans="1:24" ht="29.25">
      <c r="A178" s="242" t="s">
        <v>542</v>
      </c>
      <c r="B178" s="240" t="s">
        <v>543</v>
      </c>
      <c r="C178" s="17">
        <f>SUM(C180:C185)</f>
        <v>0</v>
      </c>
      <c r="D178" s="17">
        <f aca="true" t="shared" si="30" ref="D178:O178">SUM(D180:D185)</f>
        <v>0</v>
      </c>
      <c r="E178" s="17">
        <f t="shared" si="30"/>
        <v>0</v>
      </c>
      <c r="F178" s="17">
        <f>SUM(F180:F185)</f>
        <v>0</v>
      </c>
      <c r="G178" s="17">
        <f t="shared" si="30"/>
        <v>0</v>
      </c>
      <c r="H178" s="17">
        <f t="shared" si="30"/>
        <v>0</v>
      </c>
      <c r="I178" s="17">
        <f t="shared" si="30"/>
        <v>0</v>
      </c>
      <c r="J178" s="17">
        <f t="shared" si="30"/>
        <v>0</v>
      </c>
      <c r="K178" s="17">
        <f t="shared" si="30"/>
        <v>0</v>
      </c>
      <c r="L178" s="17">
        <f t="shared" si="30"/>
        <v>0</v>
      </c>
      <c r="M178" s="17">
        <f t="shared" si="30"/>
        <v>0</v>
      </c>
      <c r="N178" s="17">
        <f t="shared" si="30"/>
        <v>0</v>
      </c>
      <c r="O178" s="17">
        <f t="shared" si="30"/>
        <v>0</v>
      </c>
      <c r="P178" s="17">
        <f>SUM(P179:P185)</f>
        <v>224623</v>
      </c>
      <c r="Q178" s="17">
        <f>SUM(Q179:Q185)</f>
        <v>0</v>
      </c>
      <c r="R178" s="17">
        <f>SUM(R179:R185)</f>
        <v>0</v>
      </c>
      <c r="S178" s="17">
        <f>SUM(S179:S185)</f>
        <v>0</v>
      </c>
      <c r="T178" s="128">
        <f t="shared" si="24"/>
        <v>224623</v>
      </c>
      <c r="U178" s="185"/>
      <c r="V178" s="185"/>
      <c r="W178" s="195"/>
      <c r="X178" s="201"/>
    </row>
    <row r="179" spans="1:24" ht="15">
      <c r="A179" s="282" t="s">
        <v>542</v>
      </c>
      <c r="B179" s="283" t="s">
        <v>654</v>
      </c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>
        <v>53560</v>
      </c>
      <c r="Q179" s="17"/>
      <c r="R179" s="25"/>
      <c r="S179" s="52"/>
      <c r="T179" s="128">
        <f t="shared" si="24"/>
        <v>53560</v>
      </c>
      <c r="U179" s="185"/>
      <c r="V179" s="185"/>
      <c r="W179" s="195"/>
      <c r="X179" s="201"/>
    </row>
    <row r="180" spans="1:24" ht="15">
      <c r="A180" s="282" t="s">
        <v>542</v>
      </c>
      <c r="B180" s="283" t="s">
        <v>544</v>
      </c>
      <c r="C180" s="33"/>
      <c r="D180" s="33"/>
      <c r="E180" s="33"/>
      <c r="F180" s="33"/>
      <c r="G180" s="33"/>
      <c r="H180" s="17"/>
      <c r="I180" s="17"/>
      <c r="J180" s="17"/>
      <c r="K180" s="17"/>
      <c r="L180" s="17"/>
      <c r="M180" s="17"/>
      <c r="N180" s="17"/>
      <c r="O180" s="17"/>
      <c r="P180" s="17">
        <v>74945</v>
      </c>
      <c r="Q180" s="17"/>
      <c r="R180" s="25"/>
      <c r="S180" s="52"/>
      <c r="T180" s="128">
        <f t="shared" si="24"/>
        <v>74945</v>
      </c>
      <c r="U180" s="185"/>
      <c r="V180" s="185"/>
      <c r="W180" s="195"/>
      <c r="X180" s="201"/>
    </row>
    <row r="181" spans="1:24" ht="15">
      <c r="A181" s="282" t="s">
        <v>542</v>
      </c>
      <c r="B181" s="283" t="s">
        <v>545</v>
      </c>
      <c r="C181" s="33"/>
      <c r="D181" s="33"/>
      <c r="E181" s="33"/>
      <c r="F181" s="93"/>
      <c r="G181" s="93"/>
      <c r="H181" s="17"/>
      <c r="I181" s="17"/>
      <c r="J181" s="17"/>
      <c r="K181" s="17"/>
      <c r="L181" s="17"/>
      <c r="M181" s="17"/>
      <c r="N181" s="17"/>
      <c r="O181" s="52"/>
      <c r="P181" s="52">
        <v>18249</v>
      </c>
      <c r="Q181" s="52"/>
      <c r="R181" s="52"/>
      <c r="S181" s="52"/>
      <c r="T181" s="128">
        <f t="shared" si="24"/>
        <v>18249</v>
      </c>
      <c r="U181" s="185"/>
      <c r="V181" s="185"/>
      <c r="W181" s="195"/>
      <c r="X181" s="201"/>
    </row>
    <row r="182" spans="1:24" ht="30">
      <c r="A182" s="282" t="s">
        <v>542</v>
      </c>
      <c r="B182" s="35" t="s">
        <v>306</v>
      </c>
      <c r="C182" s="33"/>
      <c r="D182" s="88"/>
      <c r="E182" s="88"/>
      <c r="F182" s="122"/>
      <c r="G182" s="122"/>
      <c r="H182" s="49"/>
      <c r="I182" s="49"/>
      <c r="J182" s="49"/>
      <c r="K182" s="49"/>
      <c r="L182" s="49"/>
      <c r="M182" s="49"/>
      <c r="N182" s="49"/>
      <c r="O182" s="25"/>
      <c r="P182" s="25">
        <v>2228</v>
      </c>
      <c r="Q182" s="25"/>
      <c r="R182" s="25"/>
      <c r="S182" s="52"/>
      <c r="T182" s="128">
        <f t="shared" si="24"/>
        <v>2228</v>
      </c>
      <c r="U182" s="185"/>
      <c r="V182" s="185"/>
      <c r="W182" s="195"/>
      <c r="X182" s="201"/>
    </row>
    <row r="183" spans="1:24" ht="30">
      <c r="A183" s="282" t="s">
        <v>542</v>
      </c>
      <c r="B183" s="283" t="s">
        <v>546</v>
      </c>
      <c r="C183" s="33"/>
      <c r="D183" s="33"/>
      <c r="E183" s="33"/>
      <c r="F183" s="93"/>
      <c r="G183" s="93"/>
      <c r="H183" s="17"/>
      <c r="I183" s="17"/>
      <c r="J183" s="17"/>
      <c r="K183" s="17"/>
      <c r="L183" s="17"/>
      <c r="M183" s="17"/>
      <c r="N183" s="17"/>
      <c r="O183" s="52"/>
      <c r="P183" s="52">
        <v>14298</v>
      </c>
      <c r="Q183" s="52"/>
      <c r="R183" s="52"/>
      <c r="S183" s="52"/>
      <c r="T183" s="128">
        <f t="shared" si="24"/>
        <v>14298</v>
      </c>
      <c r="U183" s="185"/>
      <c r="V183" s="185"/>
      <c r="W183" s="195"/>
      <c r="X183" s="201"/>
    </row>
    <row r="184" spans="1:24" ht="15">
      <c r="A184" s="282" t="s">
        <v>542</v>
      </c>
      <c r="B184" s="283" t="s">
        <v>547</v>
      </c>
      <c r="C184" s="33"/>
      <c r="D184" s="33"/>
      <c r="E184" s="33"/>
      <c r="F184" s="93"/>
      <c r="G184" s="93"/>
      <c r="H184" s="17"/>
      <c r="I184" s="17"/>
      <c r="J184" s="17"/>
      <c r="K184" s="17"/>
      <c r="L184" s="17"/>
      <c r="M184" s="17"/>
      <c r="N184" s="17"/>
      <c r="O184" s="52"/>
      <c r="P184" s="52">
        <v>1830</v>
      </c>
      <c r="Q184" s="52"/>
      <c r="R184" s="52"/>
      <c r="S184" s="52"/>
      <c r="T184" s="128">
        <f t="shared" si="24"/>
        <v>1830</v>
      </c>
      <c r="U184" s="185"/>
      <c r="V184" s="185"/>
      <c r="W184" s="195"/>
      <c r="X184" s="201"/>
    </row>
    <row r="185" spans="1:24" ht="15.75" thickBot="1">
      <c r="A185" s="284" t="s">
        <v>542</v>
      </c>
      <c r="B185" s="189" t="s">
        <v>548</v>
      </c>
      <c r="C185" s="147"/>
      <c r="D185" s="165"/>
      <c r="E185" s="165"/>
      <c r="F185" s="147"/>
      <c r="G185" s="147"/>
      <c r="H185" s="79"/>
      <c r="I185" s="79"/>
      <c r="J185" s="79"/>
      <c r="K185" s="79"/>
      <c r="L185" s="79"/>
      <c r="M185" s="79"/>
      <c r="N185" s="79"/>
      <c r="O185" s="80"/>
      <c r="P185" s="80">
        <v>59513</v>
      </c>
      <c r="Q185" s="80"/>
      <c r="R185" s="80"/>
      <c r="S185" s="84"/>
      <c r="T185" s="170">
        <f t="shared" si="24"/>
        <v>59513</v>
      </c>
      <c r="U185" s="185"/>
      <c r="V185" s="185"/>
      <c r="W185" s="195"/>
      <c r="X185" s="201"/>
    </row>
    <row r="186" spans="1:24" ht="15.75" thickBot="1">
      <c r="A186" s="166" t="s">
        <v>99</v>
      </c>
      <c r="B186" s="154" t="s">
        <v>0</v>
      </c>
      <c r="C186" s="44">
        <f>C187+C206+C207+C232+C246+C253+C255</f>
        <v>29498817</v>
      </c>
      <c r="D186" s="44">
        <f aca="true" t="shared" si="31" ref="D186:S186">D187+D206+D207+D232+D246+D253+D255</f>
        <v>0</v>
      </c>
      <c r="E186" s="44">
        <f t="shared" si="31"/>
        <v>0</v>
      </c>
      <c r="F186" s="44">
        <f>F187+F206+F207+F232+F246+F253+F255</f>
        <v>0</v>
      </c>
      <c r="G186" s="44">
        <f t="shared" si="31"/>
        <v>0</v>
      </c>
      <c r="H186" s="44">
        <f t="shared" si="31"/>
        <v>1348881</v>
      </c>
      <c r="I186" s="44">
        <f t="shared" si="31"/>
        <v>0</v>
      </c>
      <c r="J186" s="44">
        <f t="shared" si="31"/>
        <v>499899</v>
      </c>
      <c r="K186" s="44">
        <f t="shared" si="31"/>
        <v>1482405</v>
      </c>
      <c r="L186" s="44">
        <f t="shared" si="31"/>
        <v>42567</v>
      </c>
      <c r="M186" s="44">
        <f t="shared" si="31"/>
        <v>83450</v>
      </c>
      <c r="N186" s="44">
        <f t="shared" si="31"/>
        <v>39825</v>
      </c>
      <c r="O186" s="44">
        <f>O187+O206+O207+O232+O246+O253+O255</f>
        <v>702195</v>
      </c>
      <c r="P186" s="44">
        <f>P187+P206+P207+P232+P246+P253+P255</f>
        <v>3276788</v>
      </c>
      <c r="Q186" s="44">
        <f>Q187+Q206+Q207+Q232+Q246+Q253+Q255</f>
        <v>8326909</v>
      </c>
      <c r="R186" s="45">
        <f>R187+R206+R207+R232+R246+R253+R254+R255</f>
        <v>7986545</v>
      </c>
      <c r="S186" s="45">
        <f t="shared" si="31"/>
        <v>0</v>
      </c>
      <c r="T186" s="46">
        <f t="shared" si="24"/>
        <v>53288281</v>
      </c>
      <c r="U186" s="185"/>
      <c r="V186" s="185"/>
      <c r="W186" s="201"/>
      <c r="X186" s="201"/>
    </row>
    <row r="187" spans="1:24" ht="15">
      <c r="A187" s="120" t="s">
        <v>100</v>
      </c>
      <c r="B187" s="121" t="s">
        <v>212</v>
      </c>
      <c r="C187" s="122">
        <f>SUM(C188:C204)</f>
        <v>5168661</v>
      </c>
      <c r="D187" s="122">
        <f aca="true" t="shared" si="32" ref="D187:Q187">SUM(D188:D205)</f>
        <v>0</v>
      </c>
      <c r="E187" s="122">
        <f t="shared" si="32"/>
        <v>0</v>
      </c>
      <c r="F187" s="122">
        <f>SUM(F188:F205)</f>
        <v>0</v>
      </c>
      <c r="G187" s="122">
        <f t="shared" si="32"/>
        <v>0</v>
      </c>
      <c r="H187" s="122">
        <f t="shared" si="32"/>
        <v>0</v>
      </c>
      <c r="I187" s="122">
        <f t="shared" si="32"/>
        <v>0</v>
      </c>
      <c r="J187" s="122">
        <f t="shared" si="32"/>
        <v>0</v>
      </c>
      <c r="K187" s="122">
        <f t="shared" si="32"/>
        <v>416022</v>
      </c>
      <c r="L187" s="122">
        <f t="shared" si="32"/>
        <v>0</v>
      </c>
      <c r="M187" s="122">
        <f t="shared" si="32"/>
        <v>0</v>
      </c>
      <c r="N187" s="122">
        <f t="shared" si="32"/>
        <v>0</v>
      </c>
      <c r="O187" s="122">
        <f t="shared" si="32"/>
        <v>0</v>
      </c>
      <c r="P187" s="122">
        <f t="shared" si="32"/>
        <v>1885209</v>
      </c>
      <c r="Q187" s="122">
        <f t="shared" si="32"/>
        <v>2153857</v>
      </c>
      <c r="R187" s="122">
        <f>SUM(R188:R205)</f>
        <v>2901760</v>
      </c>
      <c r="S187" s="122">
        <f>SUM(S188:S205)</f>
        <v>0</v>
      </c>
      <c r="T187" s="50">
        <f t="shared" si="24"/>
        <v>12525509</v>
      </c>
      <c r="U187" s="185"/>
      <c r="V187" s="185"/>
      <c r="W187" s="195"/>
      <c r="X187" s="201"/>
    </row>
    <row r="188" spans="1:24" ht="15">
      <c r="A188" s="51" t="s">
        <v>213</v>
      </c>
      <c r="B188" s="24" t="s">
        <v>101</v>
      </c>
      <c r="C188" s="52">
        <f>866212+5562+15910+250+53314+36500</f>
        <v>977748</v>
      </c>
      <c r="D188" s="17"/>
      <c r="E188" s="17"/>
      <c r="F188" s="52"/>
      <c r="G188" s="52"/>
      <c r="H188" s="17"/>
      <c r="I188" s="17"/>
      <c r="J188" s="17"/>
      <c r="K188" s="17"/>
      <c r="L188" s="17"/>
      <c r="M188" s="17"/>
      <c r="N188" s="17"/>
      <c r="O188" s="52"/>
      <c r="P188" s="52"/>
      <c r="Q188" s="52"/>
      <c r="R188" s="52"/>
      <c r="S188" s="52"/>
      <c r="T188" s="128">
        <f t="shared" si="24"/>
        <v>977748</v>
      </c>
      <c r="U188" s="185"/>
      <c r="V188" s="185"/>
      <c r="W188" s="195"/>
      <c r="X188" s="201"/>
    </row>
    <row r="189" spans="1:24" ht="15">
      <c r="A189" s="51" t="s">
        <v>214</v>
      </c>
      <c r="B189" s="24" t="s">
        <v>102</v>
      </c>
      <c r="C189" s="52">
        <f>620403+11310+1862+28289+14800</f>
        <v>676664</v>
      </c>
      <c r="D189" s="17"/>
      <c r="E189" s="17"/>
      <c r="F189" s="52"/>
      <c r="G189" s="52"/>
      <c r="H189" s="17"/>
      <c r="I189" s="17"/>
      <c r="J189" s="17"/>
      <c r="K189" s="17"/>
      <c r="L189" s="17"/>
      <c r="M189" s="17"/>
      <c r="N189" s="17"/>
      <c r="O189" s="52"/>
      <c r="P189" s="52"/>
      <c r="Q189" s="52"/>
      <c r="R189" s="52"/>
      <c r="S189" s="52"/>
      <c r="T189" s="128">
        <f t="shared" si="24"/>
        <v>676664</v>
      </c>
      <c r="U189" s="185"/>
      <c r="V189" s="185"/>
      <c r="W189" s="195"/>
      <c r="X189" s="201"/>
    </row>
    <row r="190" spans="1:24" ht="15">
      <c r="A190" s="51" t="s">
        <v>215</v>
      </c>
      <c r="B190" s="24" t="s">
        <v>103</v>
      </c>
      <c r="C190" s="52">
        <f>651038+12330+45871</f>
        <v>709239</v>
      </c>
      <c r="D190" s="17"/>
      <c r="E190" s="17"/>
      <c r="F190" s="52"/>
      <c r="G190" s="52"/>
      <c r="H190" s="17"/>
      <c r="I190" s="17"/>
      <c r="J190" s="17"/>
      <c r="K190" s="17"/>
      <c r="L190" s="17"/>
      <c r="M190" s="17"/>
      <c r="N190" s="17"/>
      <c r="O190" s="52"/>
      <c r="P190" s="52"/>
      <c r="Q190" s="52"/>
      <c r="R190" s="52"/>
      <c r="S190" s="52"/>
      <c r="T190" s="128">
        <f t="shared" si="24"/>
        <v>709239</v>
      </c>
      <c r="U190" s="185"/>
      <c r="V190" s="185"/>
      <c r="W190" s="195"/>
      <c r="X190" s="201"/>
    </row>
    <row r="191" spans="1:24" ht="15">
      <c r="A191" s="51" t="s">
        <v>216</v>
      </c>
      <c r="B191" s="24" t="s">
        <v>104</v>
      </c>
      <c r="C191" s="52">
        <f>742565+14630+46786</f>
        <v>803981</v>
      </c>
      <c r="D191" s="17"/>
      <c r="E191" s="17"/>
      <c r="F191" s="52"/>
      <c r="G191" s="52"/>
      <c r="H191" s="17"/>
      <c r="I191" s="17"/>
      <c r="J191" s="17"/>
      <c r="K191" s="17"/>
      <c r="L191" s="17"/>
      <c r="M191" s="17"/>
      <c r="N191" s="17"/>
      <c r="O191" s="52"/>
      <c r="P191" s="52"/>
      <c r="Q191" s="52"/>
      <c r="R191" s="52"/>
      <c r="S191" s="52"/>
      <c r="T191" s="128">
        <f t="shared" si="24"/>
        <v>803981</v>
      </c>
      <c r="U191" s="185"/>
      <c r="V191" s="185"/>
      <c r="W191" s="195"/>
      <c r="X191" s="201"/>
    </row>
    <row r="192" spans="1:24" ht="15">
      <c r="A192" s="51" t="s">
        <v>217</v>
      </c>
      <c r="B192" s="24" t="s">
        <v>105</v>
      </c>
      <c r="C192" s="52">
        <f>409914+6375+19140</f>
        <v>435429</v>
      </c>
      <c r="D192" s="17"/>
      <c r="E192" s="17"/>
      <c r="F192" s="52"/>
      <c r="G192" s="52"/>
      <c r="H192" s="17"/>
      <c r="I192" s="17"/>
      <c r="J192" s="17"/>
      <c r="K192" s="17"/>
      <c r="L192" s="17"/>
      <c r="M192" s="17"/>
      <c r="N192" s="17"/>
      <c r="O192" s="52"/>
      <c r="P192" s="52"/>
      <c r="Q192" s="52"/>
      <c r="R192" s="52"/>
      <c r="S192" s="52"/>
      <c r="T192" s="128">
        <f t="shared" si="24"/>
        <v>435429</v>
      </c>
      <c r="U192" s="185"/>
      <c r="V192" s="185"/>
      <c r="W192" s="195"/>
      <c r="X192" s="201"/>
    </row>
    <row r="193" spans="1:24" ht="15">
      <c r="A193" s="51" t="s">
        <v>218</v>
      </c>
      <c r="B193" s="24" t="s">
        <v>127</v>
      </c>
      <c r="C193" s="52">
        <f>783618+15395+2035+51134+24300</f>
        <v>876482</v>
      </c>
      <c r="D193" s="17"/>
      <c r="E193" s="17"/>
      <c r="F193" s="52"/>
      <c r="G193" s="52"/>
      <c r="H193" s="17"/>
      <c r="I193" s="17"/>
      <c r="J193" s="17"/>
      <c r="K193" s="17"/>
      <c r="L193" s="17"/>
      <c r="M193" s="17"/>
      <c r="N193" s="17"/>
      <c r="O193" s="52"/>
      <c r="P193" s="52"/>
      <c r="Q193" s="52"/>
      <c r="R193" s="52"/>
      <c r="S193" s="52"/>
      <c r="T193" s="128">
        <f t="shared" si="24"/>
        <v>876482</v>
      </c>
      <c r="U193" s="185"/>
      <c r="V193" s="185"/>
      <c r="W193" s="195"/>
      <c r="X193" s="201"/>
    </row>
    <row r="194" spans="1:24" ht="15">
      <c r="A194" s="51" t="s">
        <v>219</v>
      </c>
      <c r="B194" s="24" t="s">
        <v>143</v>
      </c>
      <c r="C194" s="52">
        <f>408541+7340+23937</f>
        <v>439818</v>
      </c>
      <c r="D194" s="52"/>
      <c r="E194" s="52"/>
      <c r="F194" s="52"/>
      <c r="G194" s="52"/>
      <c r="H194" s="17"/>
      <c r="I194" s="17"/>
      <c r="J194" s="17"/>
      <c r="K194" s="52"/>
      <c r="L194" s="52"/>
      <c r="M194" s="52"/>
      <c r="N194" s="52"/>
      <c r="O194" s="52"/>
      <c r="P194" s="52"/>
      <c r="Q194" s="52"/>
      <c r="R194" s="52"/>
      <c r="S194" s="52"/>
      <c r="T194" s="128">
        <f t="shared" si="24"/>
        <v>439818</v>
      </c>
      <c r="U194" s="185"/>
      <c r="V194" s="185"/>
      <c r="W194" s="195"/>
      <c r="X194" s="201"/>
    </row>
    <row r="195" spans="1:24" ht="15">
      <c r="A195" s="51" t="s">
        <v>220</v>
      </c>
      <c r="B195" s="24" t="s">
        <v>144</v>
      </c>
      <c r="C195" s="52"/>
      <c r="D195" s="52"/>
      <c r="E195" s="52"/>
      <c r="F195" s="52"/>
      <c r="G195" s="52"/>
      <c r="H195" s="17"/>
      <c r="I195" s="17"/>
      <c r="J195" s="17"/>
      <c r="K195" s="17">
        <v>416022</v>
      </c>
      <c r="L195" s="52"/>
      <c r="M195" s="52"/>
      <c r="N195" s="52"/>
      <c r="O195" s="52"/>
      <c r="P195" s="52"/>
      <c r="Q195" s="52"/>
      <c r="R195" s="52"/>
      <c r="S195" s="52"/>
      <c r="T195" s="128">
        <f t="shared" si="24"/>
        <v>416022</v>
      </c>
      <c r="U195" s="185"/>
      <c r="V195" s="185"/>
      <c r="W195" s="195"/>
      <c r="X195" s="201"/>
    </row>
    <row r="196" spans="1:24" ht="15">
      <c r="A196" s="151" t="s">
        <v>100</v>
      </c>
      <c r="B196" s="24" t="s">
        <v>549</v>
      </c>
      <c r="C196" s="52"/>
      <c r="D196" s="52"/>
      <c r="E196" s="52"/>
      <c r="F196" s="52"/>
      <c r="G196" s="52"/>
      <c r="H196" s="17"/>
      <c r="I196" s="17"/>
      <c r="J196" s="17"/>
      <c r="K196" s="131"/>
      <c r="L196" s="52"/>
      <c r="M196" s="52"/>
      <c r="N196" s="52"/>
      <c r="O196" s="52"/>
      <c r="P196" s="52"/>
      <c r="Q196" s="52"/>
      <c r="R196" s="52">
        <v>1308688</v>
      </c>
      <c r="S196" s="52"/>
      <c r="T196" s="128">
        <f t="shared" si="24"/>
        <v>1308688</v>
      </c>
      <c r="U196" s="185"/>
      <c r="V196" s="185"/>
      <c r="W196" s="195"/>
      <c r="X196" s="201"/>
    </row>
    <row r="197" spans="1:24" ht="15">
      <c r="A197" s="151" t="s">
        <v>100</v>
      </c>
      <c r="B197" s="24" t="s">
        <v>550</v>
      </c>
      <c r="C197" s="52"/>
      <c r="D197" s="52"/>
      <c r="E197" s="52"/>
      <c r="F197" s="52"/>
      <c r="G197" s="52"/>
      <c r="H197" s="17"/>
      <c r="I197" s="17"/>
      <c r="J197" s="17"/>
      <c r="K197" s="131"/>
      <c r="L197" s="52"/>
      <c r="M197" s="52"/>
      <c r="N197" s="52"/>
      <c r="O197" s="52"/>
      <c r="P197" s="52"/>
      <c r="Q197" s="52"/>
      <c r="R197" s="52">
        <v>803699</v>
      </c>
      <c r="S197" s="52"/>
      <c r="T197" s="128">
        <f t="shared" si="24"/>
        <v>803699</v>
      </c>
      <c r="U197" s="185"/>
      <c r="V197" s="185"/>
      <c r="W197" s="195"/>
      <c r="X197" s="201"/>
    </row>
    <row r="198" spans="1:24" ht="15">
      <c r="A198" s="151" t="s">
        <v>100</v>
      </c>
      <c r="B198" s="24" t="s">
        <v>551</v>
      </c>
      <c r="C198" s="52"/>
      <c r="D198" s="52"/>
      <c r="E198" s="52"/>
      <c r="F198" s="52"/>
      <c r="G198" s="52"/>
      <c r="H198" s="17"/>
      <c r="I198" s="17"/>
      <c r="J198" s="17"/>
      <c r="K198" s="131"/>
      <c r="L198" s="52"/>
      <c r="M198" s="52"/>
      <c r="N198" s="52"/>
      <c r="O198" s="52"/>
      <c r="P198" s="52"/>
      <c r="Q198" s="52"/>
      <c r="R198" s="52">
        <v>401212</v>
      </c>
      <c r="S198" s="52"/>
      <c r="T198" s="128">
        <f t="shared" si="24"/>
        <v>401212</v>
      </c>
      <c r="U198" s="185"/>
      <c r="V198" s="185"/>
      <c r="W198" s="195"/>
      <c r="X198" s="201"/>
    </row>
    <row r="199" spans="1:24" ht="15">
      <c r="A199" s="151" t="s">
        <v>100</v>
      </c>
      <c r="B199" s="24" t="s">
        <v>552</v>
      </c>
      <c r="C199" s="52"/>
      <c r="D199" s="52"/>
      <c r="E199" s="52"/>
      <c r="F199" s="52"/>
      <c r="G199" s="52"/>
      <c r="H199" s="17"/>
      <c r="I199" s="17"/>
      <c r="J199" s="17"/>
      <c r="K199" s="131"/>
      <c r="L199" s="52"/>
      <c r="M199" s="52"/>
      <c r="N199" s="52"/>
      <c r="O199" s="52"/>
      <c r="P199" s="52">
        <v>820506</v>
      </c>
      <c r="Q199" s="52"/>
      <c r="R199" s="52"/>
      <c r="S199" s="52"/>
      <c r="T199" s="128">
        <f t="shared" si="24"/>
        <v>820506</v>
      </c>
      <c r="U199" s="185"/>
      <c r="V199" s="185"/>
      <c r="W199" s="195"/>
      <c r="X199" s="201"/>
    </row>
    <row r="200" spans="1:24" ht="15">
      <c r="A200" s="151" t="s">
        <v>100</v>
      </c>
      <c r="B200" s="24" t="s">
        <v>553</v>
      </c>
      <c r="C200" s="52"/>
      <c r="D200" s="52"/>
      <c r="E200" s="52"/>
      <c r="F200" s="52"/>
      <c r="G200" s="52"/>
      <c r="H200" s="17"/>
      <c r="I200" s="17"/>
      <c r="J200" s="17"/>
      <c r="K200" s="131"/>
      <c r="L200" s="52"/>
      <c r="M200" s="52"/>
      <c r="N200" s="52"/>
      <c r="O200" s="52"/>
      <c r="P200" s="52">
        <v>384236</v>
      </c>
      <c r="Q200" s="52"/>
      <c r="R200" s="52"/>
      <c r="S200" s="52"/>
      <c r="T200" s="128">
        <f t="shared" si="24"/>
        <v>384236</v>
      </c>
      <c r="U200" s="185"/>
      <c r="V200" s="185"/>
      <c r="W200" s="195"/>
      <c r="X200" s="201"/>
    </row>
    <row r="201" spans="1:24" ht="15">
      <c r="A201" s="151" t="s">
        <v>100</v>
      </c>
      <c r="B201" s="24" t="s">
        <v>554</v>
      </c>
      <c r="C201" s="52"/>
      <c r="D201" s="52"/>
      <c r="E201" s="52"/>
      <c r="F201" s="52"/>
      <c r="G201" s="52"/>
      <c r="H201" s="17"/>
      <c r="I201" s="17"/>
      <c r="J201" s="17"/>
      <c r="K201" s="131"/>
      <c r="L201" s="52"/>
      <c r="M201" s="52"/>
      <c r="N201" s="52"/>
      <c r="O201" s="52"/>
      <c r="P201" s="52">
        <v>680467</v>
      </c>
      <c r="Q201" s="52"/>
      <c r="R201" s="52"/>
      <c r="S201" s="52"/>
      <c r="T201" s="128">
        <f t="shared" si="24"/>
        <v>680467</v>
      </c>
      <c r="U201" s="185"/>
      <c r="V201" s="185"/>
      <c r="W201" s="195"/>
      <c r="X201" s="201"/>
    </row>
    <row r="202" spans="1:24" ht="15">
      <c r="A202" s="151" t="s">
        <v>100</v>
      </c>
      <c r="B202" s="24" t="s">
        <v>584</v>
      </c>
      <c r="C202" s="52"/>
      <c r="D202" s="52"/>
      <c r="E202" s="52"/>
      <c r="F202" s="52"/>
      <c r="G202" s="52"/>
      <c r="H202" s="17"/>
      <c r="I202" s="17"/>
      <c r="J202" s="17"/>
      <c r="K202" s="131"/>
      <c r="L202" s="52"/>
      <c r="M202" s="52"/>
      <c r="N202" s="52"/>
      <c r="O202" s="52"/>
      <c r="P202" s="52"/>
      <c r="Q202" s="52">
        <f>1172727+51068+12070</f>
        <v>1235865</v>
      </c>
      <c r="R202" s="52"/>
      <c r="S202" s="52"/>
      <c r="T202" s="128">
        <f t="shared" si="24"/>
        <v>1235865</v>
      </c>
      <c r="U202" s="185"/>
      <c r="V202" s="185"/>
      <c r="W202" s="195"/>
      <c r="X202" s="201"/>
    </row>
    <row r="203" spans="1:24" ht="15">
      <c r="A203" s="151" t="s">
        <v>100</v>
      </c>
      <c r="B203" s="24" t="s">
        <v>583</v>
      </c>
      <c r="C203" s="52"/>
      <c r="D203" s="52"/>
      <c r="E203" s="52"/>
      <c r="F203" s="52"/>
      <c r="G203" s="52"/>
      <c r="H203" s="17"/>
      <c r="I203" s="17"/>
      <c r="J203" s="17"/>
      <c r="K203" s="131"/>
      <c r="L203" s="52"/>
      <c r="M203" s="52"/>
      <c r="N203" s="52"/>
      <c r="O203" s="52"/>
      <c r="P203" s="52"/>
      <c r="Q203" s="52">
        <f>920866-2874</f>
        <v>917992</v>
      </c>
      <c r="R203" s="52"/>
      <c r="S203" s="52"/>
      <c r="T203" s="128">
        <f t="shared" si="24"/>
        <v>917992</v>
      </c>
      <c r="U203" s="185"/>
      <c r="V203" s="185"/>
      <c r="W203" s="195"/>
      <c r="X203" s="201"/>
    </row>
    <row r="204" spans="1:24" ht="30">
      <c r="A204" s="51" t="s">
        <v>221</v>
      </c>
      <c r="B204" s="24" t="s">
        <v>414</v>
      </c>
      <c r="C204" s="52">
        <f>221000+28300</f>
        <v>249300</v>
      </c>
      <c r="D204" s="52"/>
      <c r="E204" s="52"/>
      <c r="F204" s="52"/>
      <c r="G204" s="52"/>
      <c r="H204" s="17"/>
      <c r="I204" s="17"/>
      <c r="J204" s="17"/>
      <c r="K204" s="52"/>
      <c r="L204" s="52"/>
      <c r="M204" s="52"/>
      <c r="N204" s="52"/>
      <c r="O204" s="52"/>
      <c r="P204" s="17"/>
      <c r="Q204" s="52"/>
      <c r="R204" s="52">
        <v>305161</v>
      </c>
      <c r="S204" s="52"/>
      <c r="T204" s="128">
        <f t="shared" si="24"/>
        <v>554461</v>
      </c>
      <c r="U204" s="185"/>
      <c r="V204" s="185"/>
      <c r="W204" s="195"/>
      <c r="X204" s="201"/>
    </row>
    <row r="205" spans="1:24" ht="30">
      <c r="A205" s="151" t="s">
        <v>100</v>
      </c>
      <c r="B205" s="24" t="s">
        <v>623</v>
      </c>
      <c r="C205" s="52"/>
      <c r="D205" s="52"/>
      <c r="E205" s="52"/>
      <c r="F205" s="52"/>
      <c r="G205" s="52"/>
      <c r="H205" s="17"/>
      <c r="I205" s="52"/>
      <c r="J205" s="52"/>
      <c r="K205" s="52"/>
      <c r="L205" s="52"/>
      <c r="M205" s="52"/>
      <c r="N205" s="52"/>
      <c r="O205" s="52"/>
      <c r="P205" s="52"/>
      <c r="Q205" s="52"/>
      <c r="R205" s="52">
        <v>83000</v>
      </c>
      <c r="S205" s="52"/>
      <c r="T205" s="128">
        <f t="shared" si="24"/>
        <v>83000</v>
      </c>
      <c r="U205" s="185"/>
      <c r="V205" s="185"/>
      <c r="W205" s="195"/>
      <c r="X205" s="201"/>
    </row>
    <row r="206" spans="1:24" ht="15">
      <c r="A206" s="127" t="s">
        <v>106</v>
      </c>
      <c r="B206" s="90" t="s">
        <v>222</v>
      </c>
      <c r="C206" s="52">
        <f>1058476+250+34616+327516+15985-18720+1236+8224</f>
        <v>1427583</v>
      </c>
      <c r="D206" s="52"/>
      <c r="E206" s="52"/>
      <c r="F206" s="52"/>
      <c r="G206" s="52"/>
      <c r="H206" s="57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128">
        <f t="shared" si="24"/>
        <v>1427583</v>
      </c>
      <c r="U206" s="185"/>
      <c r="V206" s="185"/>
      <c r="W206" s="195"/>
      <c r="X206" s="201"/>
    </row>
    <row r="207" spans="1:24" ht="29.25">
      <c r="A207" s="127" t="s">
        <v>147</v>
      </c>
      <c r="B207" s="90" t="s">
        <v>223</v>
      </c>
      <c r="C207" s="93">
        <f>SUM(C208:C231)</f>
        <v>6281334</v>
      </c>
      <c r="D207" s="93">
        <f aca="true" t="shared" si="33" ref="D207:Q207">SUM(D208:D231)</f>
        <v>0</v>
      </c>
      <c r="E207" s="93">
        <f t="shared" si="33"/>
        <v>0</v>
      </c>
      <c r="F207" s="93"/>
      <c r="G207" s="93">
        <f t="shared" si="33"/>
        <v>0</v>
      </c>
      <c r="H207" s="93">
        <f t="shared" si="33"/>
        <v>1192925</v>
      </c>
      <c r="I207" s="93">
        <f t="shared" si="33"/>
        <v>0</v>
      </c>
      <c r="J207" s="93">
        <f t="shared" si="33"/>
        <v>465351</v>
      </c>
      <c r="K207" s="93">
        <f t="shared" si="33"/>
        <v>686804</v>
      </c>
      <c r="L207" s="93">
        <f t="shared" si="33"/>
        <v>0</v>
      </c>
      <c r="M207" s="93">
        <f t="shared" si="33"/>
        <v>61600</v>
      </c>
      <c r="N207" s="93">
        <f t="shared" si="33"/>
        <v>22960</v>
      </c>
      <c r="O207" s="93">
        <f t="shared" si="33"/>
        <v>682338</v>
      </c>
      <c r="P207" s="93">
        <f t="shared" si="33"/>
        <v>957243</v>
      </c>
      <c r="Q207" s="93">
        <f t="shared" si="33"/>
        <v>4805313</v>
      </c>
      <c r="R207" s="93">
        <f>SUM(R208:R231)</f>
        <v>3889633</v>
      </c>
      <c r="S207" s="93">
        <f>SUM(S208:S231)</f>
        <v>0</v>
      </c>
      <c r="T207" s="128">
        <f t="shared" si="24"/>
        <v>19045501</v>
      </c>
      <c r="U207" s="185"/>
      <c r="V207" s="185"/>
      <c r="W207" s="195"/>
      <c r="X207" s="201"/>
    </row>
    <row r="208" spans="1:24" ht="15">
      <c r="A208" s="51" t="s">
        <v>224</v>
      </c>
      <c r="B208" s="24" t="s">
        <v>107</v>
      </c>
      <c r="C208" s="52">
        <f>2073545+64749+70947-17174+692207+13207-64065+14858</f>
        <v>2848274</v>
      </c>
      <c r="D208" s="17"/>
      <c r="E208" s="17"/>
      <c r="F208" s="52"/>
      <c r="G208" s="52"/>
      <c r="H208" s="17"/>
      <c r="I208" s="17"/>
      <c r="J208" s="17"/>
      <c r="K208" s="17"/>
      <c r="L208" s="17"/>
      <c r="M208" s="17"/>
      <c r="N208" s="17"/>
      <c r="O208" s="52"/>
      <c r="P208" s="52"/>
      <c r="Q208" s="52"/>
      <c r="R208" s="52"/>
      <c r="S208" s="52"/>
      <c r="T208" s="128">
        <f t="shared" si="24"/>
        <v>2848274</v>
      </c>
      <c r="U208" s="185"/>
      <c r="V208" s="185"/>
      <c r="W208" s="195"/>
      <c r="X208" s="201"/>
    </row>
    <row r="209" spans="1:24" ht="15">
      <c r="A209" s="51" t="s">
        <v>225</v>
      </c>
      <c r="B209" s="24" t="s">
        <v>226</v>
      </c>
      <c r="C209" s="52">
        <f>1081645+1350+31825+341068+11026-25219+6570</f>
        <v>1448265</v>
      </c>
      <c r="D209" s="17"/>
      <c r="E209" s="17"/>
      <c r="F209" s="52"/>
      <c r="G209" s="52"/>
      <c r="H209" s="17"/>
      <c r="I209" s="17"/>
      <c r="J209" s="17"/>
      <c r="K209" s="17"/>
      <c r="L209" s="17"/>
      <c r="M209" s="17"/>
      <c r="N209" s="17"/>
      <c r="O209" s="52"/>
      <c r="P209" s="52"/>
      <c r="Q209" s="52"/>
      <c r="R209" s="52"/>
      <c r="S209" s="52"/>
      <c r="T209" s="128">
        <f t="shared" si="24"/>
        <v>1448265</v>
      </c>
      <c r="U209" s="185"/>
      <c r="V209" s="185"/>
      <c r="W209" s="195"/>
      <c r="X209" s="201"/>
    </row>
    <row r="210" spans="1:24" ht="15">
      <c r="A210" s="51" t="s">
        <v>227</v>
      </c>
      <c r="B210" s="24" t="s">
        <v>108</v>
      </c>
      <c r="C210" s="52">
        <f>1046242+800+31296+298727+8879-18345+639+6778</f>
        <v>1375016</v>
      </c>
      <c r="D210" s="17"/>
      <c r="E210" s="17"/>
      <c r="F210" s="52"/>
      <c r="G210" s="52"/>
      <c r="H210" s="17"/>
      <c r="I210" s="17"/>
      <c r="J210" s="17"/>
      <c r="K210" s="17"/>
      <c r="L210" s="17"/>
      <c r="M210" s="17"/>
      <c r="N210" s="17"/>
      <c r="O210" s="52"/>
      <c r="P210" s="52"/>
      <c r="Q210" s="52"/>
      <c r="R210" s="52"/>
      <c r="S210" s="52"/>
      <c r="T210" s="128">
        <f t="shared" si="24"/>
        <v>1375016</v>
      </c>
      <c r="U210" s="185"/>
      <c r="V210" s="185"/>
      <c r="W210" s="195"/>
      <c r="X210" s="201"/>
    </row>
    <row r="211" spans="1:24" ht="15">
      <c r="A211" s="51" t="s">
        <v>228</v>
      </c>
      <c r="B211" s="24" t="s">
        <v>109</v>
      </c>
      <c r="C211" s="52">
        <f>420256+170+11164+106461+7209-7988+2273</f>
        <v>539545</v>
      </c>
      <c r="D211" s="17"/>
      <c r="E211" s="17"/>
      <c r="F211" s="52"/>
      <c r="G211" s="52"/>
      <c r="H211" s="17"/>
      <c r="I211" s="17"/>
      <c r="J211" s="17"/>
      <c r="K211" s="17"/>
      <c r="L211" s="17"/>
      <c r="M211" s="17"/>
      <c r="N211" s="17"/>
      <c r="O211" s="52"/>
      <c r="P211" s="52"/>
      <c r="Q211" s="52"/>
      <c r="R211" s="52"/>
      <c r="S211" s="52"/>
      <c r="T211" s="128">
        <f t="shared" si="24"/>
        <v>539545</v>
      </c>
      <c r="U211" s="185"/>
      <c r="V211" s="185"/>
      <c r="W211" s="195"/>
      <c r="X211" s="201"/>
    </row>
    <row r="212" spans="1:24" ht="15">
      <c r="A212" s="51" t="s">
        <v>229</v>
      </c>
      <c r="B212" s="24" t="s">
        <v>145</v>
      </c>
      <c r="C212" s="52"/>
      <c r="D212" s="17"/>
      <c r="E212" s="17"/>
      <c r="F212" s="52"/>
      <c r="G212" s="52"/>
      <c r="H212" s="17"/>
      <c r="I212" s="17"/>
      <c r="J212" s="17">
        <f>455006+9202+1143</f>
        <v>465351</v>
      </c>
      <c r="K212" s="52"/>
      <c r="L212" s="52"/>
      <c r="M212" s="52"/>
      <c r="N212" s="52"/>
      <c r="O212" s="52"/>
      <c r="P212" s="52"/>
      <c r="Q212" s="52"/>
      <c r="R212" s="52"/>
      <c r="S212" s="52"/>
      <c r="T212" s="128">
        <f aca="true" t="shared" si="34" ref="T212:T275">SUM(C212:S212)</f>
        <v>465351</v>
      </c>
      <c r="U212" s="185"/>
      <c r="V212" s="185"/>
      <c r="W212" s="195"/>
      <c r="X212" s="201"/>
    </row>
    <row r="213" spans="1:24" ht="15">
      <c r="A213" s="51" t="s">
        <v>230</v>
      </c>
      <c r="B213" s="24" t="s">
        <v>146</v>
      </c>
      <c r="C213" s="52"/>
      <c r="D213" s="17"/>
      <c r="E213" s="17"/>
      <c r="F213" s="52"/>
      <c r="G213" s="52"/>
      <c r="H213" s="17"/>
      <c r="I213" s="17"/>
      <c r="J213" s="17"/>
      <c r="K213" s="17">
        <f>683702+3102</f>
        <v>686804</v>
      </c>
      <c r="L213" s="52"/>
      <c r="M213" s="52"/>
      <c r="N213" s="52"/>
      <c r="O213" s="52"/>
      <c r="P213" s="52"/>
      <c r="Q213" s="52"/>
      <c r="R213" s="52"/>
      <c r="S213" s="52"/>
      <c r="T213" s="128">
        <f t="shared" si="34"/>
        <v>686804</v>
      </c>
      <c r="U213" s="185"/>
      <c r="V213" s="185"/>
      <c r="W213" s="195"/>
      <c r="X213" s="201"/>
    </row>
    <row r="214" spans="1:24" ht="15">
      <c r="A214" s="51" t="s">
        <v>231</v>
      </c>
      <c r="B214" s="24" t="s">
        <v>258</v>
      </c>
      <c r="C214" s="52"/>
      <c r="D214" s="17"/>
      <c r="E214" s="17"/>
      <c r="F214" s="52"/>
      <c r="G214" s="52"/>
      <c r="H214" s="17"/>
      <c r="I214" s="17"/>
      <c r="J214" s="17"/>
      <c r="K214" s="52"/>
      <c r="L214" s="52"/>
      <c r="M214" s="52">
        <v>61600</v>
      </c>
      <c r="N214" s="219">
        <v>22960</v>
      </c>
      <c r="O214" s="56">
        <f>668804+13238+1681-1385</f>
        <v>682338</v>
      </c>
      <c r="P214" s="219"/>
      <c r="Q214" s="219"/>
      <c r="R214" s="56"/>
      <c r="S214" s="52"/>
      <c r="T214" s="128">
        <f t="shared" si="34"/>
        <v>766898</v>
      </c>
      <c r="U214" s="185"/>
      <c r="V214" s="185"/>
      <c r="W214" s="195"/>
      <c r="X214" s="201"/>
    </row>
    <row r="215" spans="1:24" ht="15">
      <c r="A215" s="51" t="s">
        <v>232</v>
      </c>
      <c r="B215" s="24" t="s">
        <v>148</v>
      </c>
      <c r="C215" s="52"/>
      <c r="D215" s="17"/>
      <c r="E215" s="17"/>
      <c r="F215" s="52"/>
      <c r="G215" s="52"/>
      <c r="H215" s="230">
        <f>1159236+9554+24135</f>
        <v>1192925</v>
      </c>
      <c r="I215" s="17"/>
      <c r="J215" s="17"/>
      <c r="K215" s="52"/>
      <c r="L215" s="52"/>
      <c r="M215" s="52"/>
      <c r="N215" s="52"/>
      <c r="O215" s="52"/>
      <c r="P215" s="52"/>
      <c r="Q215" s="52"/>
      <c r="R215" s="52"/>
      <c r="S215" s="52"/>
      <c r="T215" s="128">
        <f t="shared" si="34"/>
        <v>1192925</v>
      </c>
      <c r="U215" s="185"/>
      <c r="V215" s="185"/>
      <c r="W215" s="195"/>
      <c r="X215" s="201"/>
    </row>
    <row r="216" spans="1:24" ht="15">
      <c r="A216" s="151" t="s">
        <v>147</v>
      </c>
      <c r="B216" s="24" t="s">
        <v>555</v>
      </c>
      <c r="C216" s="52"/>
      <c r="D216" s="52"/>
      <c r="E216" s="52"/>
      <c r="F216" s="52"/>
      <c r="G216" s="52"/>
      <c r="H216" s="230"/>
      <c r="I216" s="17"/>
      <c r="J216" s="17"/>
      <c r="K216" s="52"/>
      <c r="L216" s="52"/>
      <c r="M216" s="52"/>
      <c r="N216" s="52"/>
      <c r="O216" s="52"/>
      <c r="P216" s="52">
        <v>479483</v>
      </c>
      <c r="Q216" s="52"/>
      <c r="R216" s="52"/>
      <c r="S216" s="52"/>
      <c r="T216" s="128">
        <f t="shared" si="34"/>
        <v>479483</v>
      </c>
      <c r="U216" s="185"/>
      <c r="V216" s="185"/>
      <c r="W216" s="195"/>
      <c r="X216" s="201"/>
    </row>
    <row r="217" spans="1:24" ht="15">
      <c r="A217" s="151" t="s">
        <v>147</v>
      </c>
      <c r="B217" s="24" t="s">
        <v>556</v>
      </c>
      <c r="C217" s="52"/>
      <c r="D217" s="52"/>
      <c r="E217" s="52"/>
      <c r="F217" s="52"/>
      <c r="G217" s="52"/>
      <c r="H217" s="230"/>
      <c r="I217" s="17"/>
      <c r="J217" s="17"/>
      <c r="K217" s="52"/>
      <c r="L217" s="52"/>
      <c r="M217" s="52"/>
      <c r="N217" s="52"/>
      <c r="O217" s="52"/>
      <c r="P217" s="52">
        <v>458033</v>
      </c>
      <c r="Q217" s="52"/>
      <c r="R217" s="52"/>
      <c r="S217" s="52"/>
      <c r="T217" s="128">
        <f t="shared" si="34"/>
        <v>458033</v>
      </c>
      <c r="U217" s="185"/>
      <c r="V217" s="185"/>
      <c r="W217" s="195"/>
      <c r="X217" s="201"/>
    </row>
    <row r="218" spans="1:24" ht="30">
      <c r="A218" s="151" t="s">
        <v>147</v>
      </c>
      <c r="B218" s="285" t="s">
        <v>557</v>
      </c>
      <c r="C218" s="52"/>
      <c r="D218" s="52"/>
      <c r="E218" s="52"/>
      <c r="F218" s="52"/>
      <c r="G218" s="52"/>
      <c r="H218" s="230"/>
      <c r="I218" s="17"/>
      <c r="J218" s="17"/>
      <c r="K218" s="52"/>
      <c r="L218" s="52"/>
      <c r="M218" s="52"/>
      <c r="N218" s="52"/>
      <c r="O218" s="52"/>
      <c r="P218" s="52">
        <v>10085</v>
      </c>
      <c r="Q218" s="52"/>
      <c r="R218" s="52"/>
      <c r="S218" s="52"/>
      <c r="T218" s="128">
        <f t="shared" si="34"/>
        <v>10085</v>
      </c>
      <c r="U218" s="185"/>
      <c r="V218" s="185"/>
      <c r="W218" s="195"/>
      <c r="X218" s="201"/>
    </row>
    <row r="219" spans="1:24" ht="30">
      <c r="A219" s="151" t="s">
        <v>147</v>
      </c>
      <c r="B219" s="285" t="s">
        <v>558</v>
      </c>
      <c r="C219" s="52"/>
      <c r="D219" s="52"/>
      <c r="E219" s="52"/>
      <c r="F219" s="52"/>
      <c r="G219" s="52"/>
      <c r="H219" s="230"/>
      <c r="I219" s="17"/>
      <c r="J219" s="17"/>
      <c r="K219" s="52"/>
      <c r="L219" s="52"/>
      <c r="M219" s="52"/>
      <c r="N219" s="52"/>
      <c r="O219" s="52"/>
      <c r="P219" s="52">
        <v>9642</v>
      </c>
      <c r="Q219" s="52"/>
      <c r="R219" s="52"/>
      <c r="S219" s="52"/>
      <c r="T219" s="128">
        <f t="shared" si="34"/>
        <v>9642</v>
      </c>
      <c r="U219" s="185"/>
      <c r="V219" s="185"/>
      <c r="W219" s="195"/>
      <c r="X219" s="201"/>
    </row>
    <row r="220" spans="1:24" ht="15">
      <c r="A220" s="151" t="s">
        <v>147</v>
      </c>
      <c r="B220" s="24" t="s">
        <v>585</v>
      </c>
      <c r="C220" s="52"/>
      <c r="D220" s="52"/>
      <c r="E220" s="52"/>
      <c r="F220" s="52"/>
      <c r="G220" s="52"/>
      <c r="H220" s="230"/>
      <c r="I220" s="17"/>
      <c r="J220" s="17"/>
      <c r="K220" s="52"/>
      <c r="L220" s="52"/>
      <c r="M220" s="52"/>
      <c r="N220" s="52"/>
      <c r="O220" s="52"/>
      <c r="P220" s="52"/>
      <c r="Q220" s="52">
        <f>979410+220279+3960</f>
        <v>1203649</v>
      </c>
      <c r="R220" s="52"/>
      <c r="S220" s="52"/>
      <c r="T220" s="128">
        <f t="shared" si="34"/>
        <v>1203649</v>
      </c>
      <c r="U220" s="185"/>
      <c r="V220" s="185"/>
      <c r="W220" s="195"/>
      <c r="X220" s="201"/>
    </row>
    <row r="221" spans="1:24" ht="15">
      <c r="A221" s="151" t="s">
        <v>147</v>
      </c>
      <c r="B221" s="24" t="s">
        <v>586</v>
      </c>
      <c r="C221" s="52"/>
      <c r="D221" s="52"/>
      <c r="E221" s="52"/>
      <c r="F221" s="52"/>
      <c r="G221" s="52"/>
      <c r="H221" s="230"/>
      <c r="I221" s="17"/>
      <c r="J221" s="17"/>
      <c r="K221" s="52"/>
      <c r="L221" s="52"/>
      <c r="M221" s="52"/>
      <c r="N221" s="52"/>
      <c r="O221" s="52"/>
      <c r="P221" s="52"/>
      <c r="Q221" s="52">
        <f>495544+81612+14152+5614</f>
        <v>596922</v>
      </c>
      <c r="R221" s="52"/>
      <c r="S221" s="52"/>
      <c r="T221" s="128">
        <f t="shared" si="34"/>
        <v>596922</v>
      </c>
      <c r="U221" s="185"/>
      <c r="V221" s="185"/>
      <c r="W221" s="195"/>
      <c r="X221" s="201"/>
    </row>
    <row r="222" spans="1:24" ht="15">
      <c r="A222" s="151" t="s">
        <v>147</v>
      </c>
      <c r="B222" s="24" t="s">
        <v>587</v>
      </c>
      <c r="C222" s="52"/>
      <c r="D222" s="52"/>
      <c r="E222" s="52"/>
      <c r="F222" s="52"/>
      <c r="G222" s="52"/>
      <c r="H222" s="230"/>
      <c r="I222" s="17"/>
      <c r="J222" s="17"/>
      <c r="K222" s="52"/>
      <c r="L222" s="52"/>
      <c r="M222" s="52"/>
      <c r="N222" s="52"/>
      <c r="O222" s="52"/>
      <c r="P222" s="52"/>
      <c r="Q222" s="52">
        <f>753197+98236+10094</f>
        <v>861527</v>
      </c>
      <c r="R222" s="52"/>
      <c r="S222" s="52"/>
      <c r="T222" s="128">
        <f t="shared" si="34"/>
        <v>861527</v>
      </c>
      <c r="U222" s="185"/>
      <c r="V222" s="185"/>
      <c r="W222" s="195"/>
      <c r="X222" s="201"/>
    </row>
    <row r="223" spans="1:24" ht="15">
      <c r="A223" s="151" t="s">
        <v>147</v>
      </c>
      <c r="B223" s="24" t="s">
        <v>588</v>
      </c>
      <c r="C223" s="52"/>
      <c r="D223" s="52"/>
      <c r="E223" s="52"/>
      <c r="F223" s="52"/>
      <c r="G223" s="52"/>
      <c r="H223" s="230"/>
      <c r="I223" s="17"/>
      <c r="J223" s="17"/>
      <c r="K223" s="52"/>
      <c r="L223" s="52"/>
      <c r="M223" s="52"/>
      <c r="N223" s="52"/>
      <c r="O223" s="52"/>
      <c r="P223" s="52"/>
      <c r="Q223" s="52">
        <f>432685+199508+1189</f>
        <v>633382</v>
      </c>
      <c r="R223" s="52"/>
      <c r="S223" s="52"/>
      <c r="T223" s="128">
        <f t="shared" si="34"/>
        <v>633382</v>
      </c>
      <c r="U223" s="185"/>
      <c r="V223" s="185"/>
      <c r="W223" s="195"/>
      <c r="X223" s="201"/>
    </row>
    <row r="224" spans="1:24" ht="15">
      <c r="A224" s="151" t="s">
        <v>147</v>
      </c>
      <c r="B224" s="24" t="s">
        <v>589</v>
      </c>
      <c r="C224" s="52"/>
      <c r="D224" s="52"/>
      <c r="E224" s="52"/>
      <c r="F224" s="52"/>
      <c r="G224" s="52"/>
      <c r="H224" s="230"/>
      <c r="I224" s="17"/>
      <c r="J224" s="17"/>
      <c r="K224" s="52"/>
      <c r="L224" s="52"/>
      <c r="M224" s="52"/>
      <c r="N224" s="52"/>
      <c r="O224" s="52"/>
      <c r="P224" s="52"/>
      <c r="Q224" s="52">
        <f>1121141+302280+5481</f>
        <v>1428902</v>
      </c>
      <c r="R224" s="52"/>
      <c r="S224" s="52"/>
      <c r="T224" s="128">
        <f t="shared" si="34"/>
        <v>1428902</v>
      </c>
      <c r="U224" s="185"/>
      <c r="V224" s="185"/>
      <c r="W224" s="195"/>
      <c r="X224" s="201"/>
    </row>
    <row r="225" spans="1:24" ht="34.5" customHeight="1">
      <c r="A225" s="151" t="s">
        <v>147</v>
      </c>
      <c r="B225" s="177" t="s">
        <v>590</v>
      </c>
      <c r="C225" s="52"/>
      <c r="D225" s="52"/>
      <c r="E225" s="52"/>
      <c r="F225" s="52"/>
      <c r="G225" s="52"/>
      <c r="H225" s="230"/>
      <c r="I225" s="17"/>
      <c r="J225" s="17"/>
      <c r="K225" s="52"/>
      <c r="L225" s="52"/>
      <c r="M225" s="52"/>
      <c r="N225" s="52"/>
      <c r="O225" s="52"/>
      <c r="P225" s="52"/>
      <c r="Q225" s="52">
        <v>63713</v>
      </c>
      <c r="R225" s="52"/>
      <c r="S225" s="52"/>
      <c r="T225" s="128">
        <f t="shared" si="34"/>
        <v>63713</v>
      </c>
      <c r="U225" s="185"/>
      <c r="V225" s="185"/>
      <c r="W225" s="195"/>
      <c r="X225" s="201"/>
    </row>
    <row r="226" spans="1:24" ht="45">
      <c r="A226" s="151" t="s">
        <v>147</v>
      </c>
      <c r="B226" s="177" t="s">
        <v>591</v>
      </c>
      <c r="C226" s="52"/>
      <c r="D226" s="52"/>
      <c r="E226" s="52"/>
      <c r="F226" s="52"/>
      <c r="G226" s="52"/>
      <c r="H226" s="230"/>
      <c r="I226" s="17"/>
      <c r="J226" s="17"/>
      <c r="K226" s="52"/>
      <c r="L226" s="52"/>
      <c r="M226" s="52"/>
      <c r="N226" s="52"/>
      <c r="O226" s="52"/>
      <c r="P226" s="52"/>
      <c r="Q226" s="52">
        <v>17218</v>
      </c>
      <c r="R226" s="52"/>
      <c r="S226" s="52"/>
      <c r="T226" s="128">
        <f t="shared" si="34"/>
        <v>17218</v>
      </c>
      <c r="U226" s="185"/>
      <c r="V226" s="185"/>
      <c r="W226" s="195"/>
      <c r="X226" s="201"/>
    </row>
    <row r="227" spans="1:24" ht="15">
      <c r="A227" s="151" t="s">
        <v>147</v>
      </c>
      <c r="B227" s="24" t="s">
        <v>624</v>
      </c>
      <c r="C227" s="52"/>
      <c r="D227" s="52"/>
      <c r="E227" s="52"/>
      <c r="F227" s="52"/>
      <c r="G227" s="52"/>
      <c r="H227" s="230"/>
      <c r="I227" s="17"/>
      <c r="J227" s="17"/>
      <c r="K227" s="52"/>
      <c r="L227" s="52"/>
      <c r="M227" s="52"/>
      <c r="N227" s="52"/>
      <c r="O227" s="52"/>
      <c r="P227" s="52"/>
      <c r="Q227" s="52"/>
      <c r="R227" s="52">
        <v>706473</v>
      </c>
      <c r="S227" s="52"/>
      <c r="T227" s="128">
        <f t="shared" si="34"/>
        <v>706473</v>
      </c>
      <c r="U227" s="185"/>
      <c r="V227" s="185"/>
      <c r="W227" s="195"/>
      <c r="X227" s="201"/>
    </row>
    <row r="228" spans="1:24" ht="15">
      <c r="A228" s="151" t="s">
        <v>147</v>
      </c>
      <c r="B228" s="24" t="s">
        <v>625</v>
      </c>
      <c r="C228" s="52"/>
      <c r="D228" s="52"/>
      <c r="E228" s="52"/>
      <c r="F228" s="52"/>
      <c r="G228" s="52"/>
      <c r="H228" s="57"/>
      <c r="I228" s="17"/>
      <c r="J228" s="17"/>
      <c r="K228" s="52"/>
      <c r="L228" s="52"/>
      <c r="M228" s="52"/>
      <c r="N228" s="52"/>
      <c r="O228" s="52"/>
      <c r="P228" s="52"/>
      <c r="Q228" s="52"/>
      <c r="R228" s="52">
        <v>3023459</v>
      </c>
      <c r="S228" s="52"/>
      <c r="T228" s="128">
        <f t="shared" si="34"/>
        <v>3023459</v>
      </c>
      <c r="U228" s="185"/>
      <c r="V228" s="185"/>
      <c r="W228" s="195"/>
      <c r="X228" s="201"/>
    </row>
    <row r="229" spans="1:24" ht="30">
      <c r="A229" s="151" t="s">
        <v>147</v>
      </c>
      <c r="B229" s="177" t="s">
        <v>322</v>
      </c>
      <c r="C229" s="52"/>
      <c r="D229" s="52"/>
      <c r="E229" s="52"/>
      <c r="F229" s="52"/>
      <c r="G229" s="52"/>
      <c r="H229" s="224"/>
      <c r="I229" s="52"/>
      <c r="J229" s="52"/>
      <c r="K229" s="52"/>
      <c r="L229" s="52"/>
      <c r="M229" s="52"/>
      <c r="N229" s="52"/>
      <c r="O229" s="52"/>
      <c r="P229" s="52"/>
      <c r="Q229" s="52"/>
      <c r="R229" s="52">
        <v>78145</v>
      </c>
      <c r="S229" s="52"/>
      <c r="T229" s="128">
        <f t="shared" si="34"/>
        <v>78145</v>
      </c>
      <c r="U229" s="185"/>
      <c r="V229" s="185"/>
      <c r="W229" s="195"/>
      <c r="X229" s="201"/>
    </row>
    <row r="230" spans="1:24" ht="15">
      <c r="A230" s="151" t="s">
        <v>147</v>
      </c>
      <c r="B230" s="24" t="s">
        <v>641</v>
      </c>
      <c r="C230" s="52"/>
      <c r="D230" s="52"/>
      <c r="E230" s="52"/>
      <c r="F230" s="52"/>
      <c r="G230" s="52"/>
      <c r="H230" s="224"/>
      <c r="I230" s="52"/>
      <c r="J230" s="52"/>
      <c r="K230" s="52"/>
      <c r="L230" s="52"/>
      <c r="M230" s="52"/>
      <c r="N230" s="52"/>
      <c r="O230" s="52"/>
      <c r="P230" s="52"/>
      <c r="Q230" s="52"/>
      <c r="R230" s="52">
        <v>21000</v>
      </c>
      <c r="S230" s="52"/>
      <c r="T230" s="128">
        <f t="shared" si="34"/>
        <v>21000</v>
      </c>
      <c r="U230" s="185"/>
      <c r="V230" s="185"/>
      <c r="W230" s="195"/>
      <c r="X230" s="201"/>
    </row>
    <row r="231" spans="1:24" ht="31.5" customHeight="1">
      <c r="A231" s="151" t="s">
        <v>468</v>
      </c>
      <c r="B231" s="24" t="s">
        <v>467</v>
      </c>
      <c r="C231" s="52">
        <f>221000+59000-10518-199248</f>
        <v>70234</v>
      </c>
      <c r="D231" s="52"/>
      <c r="E231" s="52"/>
      <c r="F231" s="52"/>
      <c r="G231" s="52"/>
      <c r="H231" s="224"/>
      <c r="I231" s="52"/>
      <c r="J231" s="52"/>
      <c r="K231" s="52"/>
      <c r="L231" s="52"/>
      <c r="M231" s="52"/>
      <c r="N231" s="52"/>
      <c r="O231" s="52"/>
      <c r="P231" s="52"/>
      <c r="Q231" s="52"/>
      <c r="R231" s="52">
        <v>60556</v>
      </c>
      <c r="S231" s="52"/>
      <c r="T231" s="128">
        <f t="shared" si="34"/>
        <v>130790</v>
      </c>
      <c r="U231" s="185"/>
      <c r="V231" s="185"/>
      <c r="W231" s="195"/>
      <c r="X231" s="201"/>
    </row>
    <row r="232" spans="1:24" ht="15" customHeight="1">
      <c r="A232" s="127" t="s">
        <v>110</v>
      </c>
      <c r="B232" s="90" t="s">
        <v>111</v>
      </c>
      <c r="C232" s="93">
        <f>SUM(C233:C245)</f>
        <v>2488381</v>
      </c>
      <c r="D232" s="93">
        <f aca="true" t="shared" si="35" ref="D232:Q232">SUM(D233:D245)</f>
        <v>0</v>
      </c>
      <c r="E232" s="93">
        <f t="shared" si="35"/>
        <v>0</v>
      </c>
      <c r="F232" s="93"/>
      <c r="G232" s="93">
        <f t="shared" si="35"/>
        <v>0</v>
      </c>
      <c r="H232" s="93">
        <f t="shared" si="35"/>
        <v>0</v>
      </c>
      <c r="I232" s="93">
        <f t="shared" si="35"/>
        <v>0</v>
      </c>
      <c r="J232" s="93">
        <f t="shared" si="35"/>
        <v>0</v>
      </c>
      <c r="K232" s="93">
        <f t="shared" si="35"/>
        <v>217878</v>
      </c>
      <c r="L232" s="93">
        <f t="shared" si="35"/>
        <v>0</v>
      </c>
      <c r="M232" s="93">
        <f t="shared" si="35"/>
        <v>0</v>
      </c>
      <c r="N232" s="93">
        <f t="shared" si="35"/>
        <v>0</v>
      </c>
      <c r="O232" s="93">
        <f t="shared" si="35"/>
        <v>0</v>
      </c>
      <c r="P232" s="93">
        <f t="shared" si="35"/>
        <v>175152</v>
      </c>
      <c r="Q232" s="93">
        <f t="shared" si="35"/>
        <v>842438</v>
      </c>
      <c r="R232" s="93">
        <f>SUM(R233:R245)</f>
        <v>648372</v>
      </c>
      <c r="S232" s="93">
        <f>SUM(S233:S245)</f>
        <v>0</v>
      </c>
      <c r="T232" s="128">
        <f t="shared" si="34"/>
        <v>4372221</v>
      </c>
      <c r="U232" s="185"/>
      <c r="V232" s="185"/>
      <c r="W232" s="195"/>
      <c r="X232" s="201"/>
    </row>
    <row r="233" spans="1:24" ht="15">
      <c r="A233" s="51" t="s">
        <v>233</v>
      </c>
      <c r="B233" s="24" t="s">
        <v>8</v>
      </c>
      <c r="C233" s="52">
        <f>701850+28871+5700+1198+27740+4034+37415</f>
        <v>806808</v>
      </c>
      <c r="D233" s="17"/>
      <c r="E233" s="17"/>
      <c r="F233" s="52"/>
      <c r="G233" s="52"/>
      <c r="H233" s="17"/>
      <c r="I233" s="17"/>
      <c r="J233" s="17"/>
      <c r="K233" s="17"/>
      <c r="L233" s="17"/>
      <c r="M233" s="17"/>
      <c r="N233" s="17"/>
      <c r="O233" s="52"/>
      <c r="P233" s="52"/>
      <c r="Q233" s="52"/>
      <c r="R233" s="52"/>
      <c r="S233" s="52"/>
      <c r="T233" s="128">
        <f t="shared" si="34"/>
        <v>806808</v>
      </c>
      <c r="U233" s="185"/>
      <c r="V233" s="185"/>
      <c r="W233" s="195"/>
      <c r="X233" s="201"/>
    </row>
    <row r="234" spans="1:24" ht="15">
      <c r="A234" s="51" t="s">
        <v>234</v>
      </c>
      <c r="B234" s="24" t="s">
        <v>121</v>
      </c>
      <c r="C234" s="52">
        <f>311374+2973+10658+2358+24640+12071</f>
        <v>364074</v>
      </c>
      <c r="D234" s="17"/>
      <c r="E234" s="17"/>
      <c r="F234" s="52"/>
      <c r="G234" s="52"/>
      <c r="H234" s="17"/>
      <c r="I234" s="17"/>
      <c r="J234" s="17"/>
      <c r="K234" s="17"/>
      <c r="L234" s="17"/>
      <c r="M234" s="17"/>
      <c r="N234" s="17"/>
      <c r="O234" s="52"/>
      <c r="P234" s="52"/>
      <c r="Q234" s="52"/>
      <c r="R234" s="52"/>
      <c r="S234" s="52"/>
      <c r="T234" s="128">
        <f t="shared" si="34"/>
        <v>364074</v>
      </c>
      <c r="U234" s="185"/>
      <c r="V234" s="185"/>
      <c r="W234" s="195"/>
      <c r="X234" s="201"/>
    </row>
    <row r="235" spans="1:24" ht="15">
      <c r="A235" s="51" t="s">
        <v>235</v>
      </c>
      <c r="B235" s="24" t="s">
        <v>112</v>
      </c>
      <c r="C235" s="52"/>
      <c r="D235" s="17"/>
      <c r="E235" s="17"/>
      <c r="F235" s="52"/>
      <c r="G235" s="52"/>
      <c r="H235" s="17"/>
      <c r="I235" s="17"/>
      <c r="J235" s="17"/>
      <c r="K235" s="17"/>
      <c r="L235" s="17"/>
      <c r="M235" s="17"/>
      <c r="N235" s="17"/>
      <c r="O235" s="52"/>
      <c r="P235" s="52"/>
      <c r="Q235" s="52"/>
      <c r="R235" s="52"/>
      <c r="S235" s="52"/>
      <c r="T235" s="128">
        <f t="shared" si="34"/>
        <v>0</v>
      </c>
      <c r="U235" s="185"/>
      <c r="V235" s="185"/>
      <c r="W235" s="195"/>
      <c r="X235" s="201"/>
    </row>
    <row r="236" spans="1:24" ht="15">
      <c r="A236" s="51" t="s">
        <v>236</v>
      </c>
      <c r="B236" s="24" t="s">
        <v>113</v>
      </c>
      <c r="C236" s="52"/>
      <c r="D236" s="17"/>
      <c r="E236" s="17"/>
      <c r="F236" s="52"/>
      <c r="G236" s="52"/>
      <c r="H236" s="17"/>
      <c r="I236" s="17"/>
      <c r="J236" s="17"/>
      <c r="K236" s="17"/>
      <c r="L236" s="17"/>
      <c r="M236" s="17"/>
      <c r="N236" s="17"/>
      <c r="O236" s="52"/>
      <c r="P236" s="52"/>
      <c r="Q236" s="52"/>
      <c r="R236" s="52"/>
      <c r="S236" s="52"/>
      <c r="T236" s="128">
        <f t="shared" si="34"/>
        <v>0</v>
      </c>
      <c r="U236" s="185"/>
      <c r="V236" s="185"/>
      <c r="W236" s="195"/>
      <c r="X236" s="201"/>
    </row>
    <row r="237" spans="1:24" ht="15">
      <c r="A237" s="51" t="s">
        <v>237</v>
      </c>
      <c r="B237" s="24" t="s">
        <v>149</v>
      </c>
      <c r="C237" s="17"/>
      <c r="D237" s="17"/>
      <c r="E237" s="17"/>
      <c r="F237" s="52"/>
      <c r="G237" s="52"/>
      <c r="H237" s="17"/>
      <c r="I237" s="17"/>
      <c r="J237" s="17"/>
      <c r="K237" s="17">
        <v>217878</v>
      </c>
      <c r="L237" s="17"/>
      <c r="M237" s="17"/>
      <c r="N237" s="17"/>
      <c r="O237" s="52"/>
      <c r="P237" s="52"/>
      <c r="Q237" s="52"/>
      <c r="R237" s="52"/>
      <c r="S237" s="52"/>
      <c r="T237" s="128">
        <f t="shared" si="34"/>
        <v>217878</v>
      </c>
      <c r="U237" s="185"/>
      <c r="V237" s="185"/>
      <c r="W237" s="195"/>
      <c r="X237" s="201"/>
    </row>
    <row r="238" spans="1:24" ht="15">
      <c r="A238" s="51" t="s">
        <v>428</v>
      </c>
      <c r="B238" s="24" t="s">
        <v>429</v>
      </c>
      <c r="C238" s="17">
        <f>1279372+17778+1950+9360+9039</f>
        <v>1317499</v>
      </c>
      <c r="D238" s="17"/>
      <c r="E238" s="17"/>
      <c r="F238" s="52"/>
      <c r="G238" s="52"/>
      <c r="H238" s="17"/>
      <c r="I238" s="17"/>
      <c r="J238" s="17"/>
      <c r="K238" s="2"/>
      <c r="L238" s="17"/>
      <c r="M238" s="17"/>
      <c r="N238" s="17"/>
      <c r="O238" s="52"/>
      <c r="P238" s="52"/>
      <c r="Q238" s="52"/>
      <c r="R238" s="52"/>
      <c r="S238" s="52"/>
      <c r="T238" s="128">
        <f t="shared" si="34"/>
        <v>1317499</v>
      </c>
      <c r="U238" s="185"/>
      <c r="V238" s="185"/>
      <c r="W238" s="195"/>
      <c r="X238" s="201"/>
    </row>
    <row r="239" spans="1:24" ht="15">
      <c r="A239" s="286" t="s">
        <v>110</v>
      </c>
      <c r="B239" s="24" t="s">
        <v>559</v>
      </c>
      <c r="C239" s="17"/>
      <c r="D239" s="17"/>
      <c r="E239" s="17"/>
      <c r="F239" s="52"/>
      <c r="G239" s="52"/>
      <c r="H239" s="17"/>
      <c r="I239" s="17"/>
      <c r="J239" s="17"/>
      <c r="K239" s="2"/>
      <c r="L239" s="17"/>
      <c r="M239" s="17"/>
      <c r="N239" s="17"/>
      <c r="O239" s="52"/>
      <c r="P239" s="52">
        <f>173868+1284</f>
        <v>175152</v>
      </c>
      <c r="Q239" s="52"/>
      <c r="R239" s="52"/>
      <c r="S239" s="52"/>
      <c r="T239" s="128">
        <f t="shared" si="34"/>
        <v>175152</v>
      </c>
      <c r="U239" s="185"/>
      <c r="V239" s="185"/>
      <c r="W239" s="195"/>
      <c r="X239" s="201"/>
    </row>
    <row r="240" spans="1:24" ht="15">
      <c r="A240" s="286" t="s">
        <v>110</v>
      </c>
      <c r="B240" s="24" t="s">
        <v>592</v>
      </c>
      <c r="C240" s="17"/>
      <c r="D240" s="17"/>
      <c r="E240" s="17"/>
      <c r="F240" s="52"/>
      <c r="G240" s="52"/>
      <c r="H240" s="17"/>
      <c r="I240" s="17"/>
      <c r="J240" s="17"/>
      <c r="K240" s="2"/>
      <c r="L240" s="17"/>
      <c r="M240" s="17"/>
      <c r="N240" s="17"/>
      <c r="O240" s="52"/>
      <c r="P240" s="52"/>
      <c r="Q240" s="52">
        <f>359765+7527-13400</f>
        <v>353892</v>
      </c>
      <c r="R240" s="52"/>
      <c r="S240" s="52"/>
      <c r="T240" s="128">
        <f t="shared" si="34"/>
        <v>353892</v>
      </c>
      <c r="U240" s="185"/>
      <c r="V240" s="185"/>
      <c r="W240" s="195"/>
      <c r="X240" s="201"/>
    </row>
    <row r="241" spans="1:24" ht="15">
      <c r="A241" s="286" t="s">
        <v>110</v>
      </c>
      <c r="B241" s="24" t="s">
        <v>593</v>
      </c>
      <c r="C241" s="17"/>
      <c r="D241" s="17"/>
      <c r="E241" s="17"/>
      <c r="F241" s="52"/>
      <c r="G241" s="52"/>
      <c r="H241" s="17"/>
      <c r="I241" s="17"/>
      <c r="J241" s="17"/>
      <c r="K241" s="2"/>
      <c r="L241" s="17"/>
      <c r="M241" s="17"/>
      <c r="N241" s="17"/>
      <c r="O241" s="52"/>
      <c r="P241" s="52"/>
      <c r="Q241" s="52">
        <f>453242+5737+3109+11710</f>
        <v>473798</v>
      </c>
      <c r="R241" s="52"/>
      <c r="S241" s="52"/>
      <c r="T241" s="128">
        <f t="shared" si="34"/>
        <v>473798</v>
      </c>
      <c r="U241" s="185"/>
      <c r="V241" s="185"/>
      <c r="W241" s="195"/>
      <c r="X241" s="201"/>
    </row>
    <row r="242" spans="1:24" ht="45">
      <c r="A242" s="286" t="s">
        <v>110</v>
      </c>
      <c r="B242" s="177" t="s">
        <v>594</v>
      </c>
      <c r="C242" s="17"/>
      <c r="D242" s="17"/>
      <c r="E242" s="17"/>
      <c r="F242" s="52"/>
      <c r="G242" s="52"/>
      <c r="H242" s="17"/>
      <c r="I242" s="17"/>
      <c r="J242" s="17"/>
      <c r="K242" s="2"/>
      <c r="L242" s="17"/>
      <c r="M242" s="17"/>
      <c r="N242" s="17"/>
      <c r="O242" s="52"/>
      <c r="P242" s="52"/>
      <c r="Q242" s="52">
        <v>14748</v>
      </c>
      <c r="R242" s="52"/>
      <c r="S242" s="52"/>
      <c r="T242" s="128">
        <f t="shared" si="34"/>
        <v>14748</v>
      </c>
      <c r="U242" s="185"/>
      <c r="V242" s="185"/>
      <c r="W242" s="195"/>
      <c r="X242" s="201"/>
    </row>
    <row r="243" spans="1:24" ht="15">
      <c r="A243" s="286" t="s">
        <v>110</v>
      </c>
      <c r="B243" s="24" t="s">
        <v>626</v>
      </c>
      <c r="C243" s="17"/>
      <c r="D243" s="17"/>
      <c r="E243" s="17"/>
      <c r="F243" s="52"/>
      <c r="G243" s="52"/>
      <c r="H243" s="17"/>
      <c r="I243" s="17"/>
      <c r="J243" s="17"/>
      <c r="K243" s="2"/>
      <c r="L243" s="17"/>
      <c r="M243" s="17"/>
      <c r="N243" s="17"/>
      <c r="O243" s="52"/>
      <c r="P243" s="52"/>
      <c r="Q243" s="52"/>
      <c r="R243" s="52">
        <v>161407</v>
      </c>
      <c r="S243" s="52"/>
      <c r="T243" s="128">
        <f t="shared" si="34"/>
        <v>161407</v>
      </c>
      <c r="U243" s="185"/>
      <c r="V243" s="185"/>
      <c r="W243" s="195"/>
      <c r="X243" s="201"/>
    </row>
    <row r="244" spans="1:24" ht="15">
      <c r="A244" s="286" t="s">
        <v>110</v>
      </c>
      <c r="B244" s="24" t="s">
        <v>627</v>
      </c>
      <c r="C244" s="17"/>
      <c r="D244" s="17"/>
      <c r="E244" s="17"/>
      <c r="F244" s="52"/>
      <c r="G244" s="52"/>
      <c r="H244" s="17"/>
      <c r="I244" s="17"/>
      <c r="J244" s="17"/>
      <c r="K244" s="2"/>
      <c r="L244" s="17"/>
      <c r="M244" s="17"/>
      <c r="N244" s="17"/>
      <c r="O244" s="52"/>
      <c r="P244" s="52"/>
      <c r="Q244" s="52"/>
      <c r="R244" s="52">
        <f>475495+2670</f>
        <v>478165</v>
      </c>
      <c r="S244" s="52"/>
      <c r="T244" s="128">
        <f t="shared" si="34"/>
        <v>478165</v>
      </c>
      <c r="U244" s="185"/>
      <c r="V244" s="185"/>
      <c r="W244" s="195"/>
      <c r="X244" s="201"/>
    </row>
    <row r="245" spans="1:24" ht="30">
      <c r="A245" s="286" t="s">
        <v>110</v>
      </c>
      <c r="B245" s="24" t="s">
        <v>628</v>
      </c>
      <c r="C245" s="17"/>
      <c r="D245" s="17"/>
      <c r="E245" s="17"/>
      <c r="F245" s="52"/>
      <c r="G245" s="52"/>
      <c r="H245" s="17"/>
      <c r="I245" s="17"/>
      <c r="J245" s="17"/>
      <c r="K245" s="2"/>
      <c r="L245" s="17"/>
      <c r="M245" s="17"/>
      <c r="N245" s="17"/>
      <c r="O245" s="52"/>
      <c r="P245" s="52"/>
      <c r="Q245" s="52"/>
      <c r="R245" s="52">
        <v>8800</v>
      </c>
      <c r="S245" s="52"/>
      <c r="T245" s="128">
        <f t="shared" si="34"/>
        <v>8800</v>
      </c>
      <c r="U245" s="185"/>
      <c r="V245" s="185"/>
      <c r="W245" s="195"/>
      <c r="X245" s="201"/>
    </row>
    <row r="246" spans="1:24" ht="15">
      <c r="A246" s="144" t="s">
        <v>150</v>
      </c>
      <c r="B246" s="90" t="s">
        <v>151</v>
      </c>
      <c r="C246" s="33">
        <f>SUM(C247:C249)</f>
        <v>436480</v>
      </c>
      <c r="D246" s="17">
        <f aca="true" t="shared" si="36" ref="D246:N246">SUM(D247:D249)</f>
        <v>0</v>
      </c>
      <c r="E246" s="17">
        <f t="shared" si="36"/>
        <v>0</v>
      </c>
      <c r="F246" s="17"/>
      <c r="G246" s="17">
        <f t="shared" si="36"/>
        <v>0</v>
      </c>
      <c r="H246" s="17">
        <f t="shared" si="36"/>
        <v>117949</v>
      </c>
      <c r="I246" s="17">
        <f t="shared" si="36"/>
        <v>0</v>
      </c>
      <c r="J246" s="17">
        <f t="shared" si="36"/>
        <v>0</v>
      </c>
      <c r="K246" s="17">
        <f t="shared" si="36"/>
        <v>86760</v>
      </c>
      <c r="L246" s="17">
        <f t="shared" si="36"/>
        <v>0</v>
      </c>
      <c r="M246" s="17">
        <f t="shared" si="36"/>
        <v>0</v>
      </c>
      <c r="N246" s="17">
        <f t="shared" si="36"/>
        <v>0</v>
      </c>
      <c r="O246" s="17">
        <f>SUM(O247:O249)</f>
        <v>0</v>
      </c>
      <c r="P246" s="17">
        <f>SUM(P247:P252)</f>
        <v>165200</v>
      </c>
      <c r="Q246" s="17">
        <f>SUM(Q247:Q252)</f>
        <v>197726</v>
      </c>
      <c r="R246" s="52">
        <f>SUM(R247:R249)</f>
        <v>0</v>
      </c>
      <c r="S246" s="52">
        <f>SUM(S247:S249)</f>
        <v>0</v>
      </c>
      <c r="T246" s="128">
        <f t="shared" si="34"/>
        <v>1004115</v>
      </c>
      <c r="U246" s="185"/>
      <c r="V246" s="185"/>
      <c r="W246" s="195"/>
      <c r="X246" s="201"/>
    </row>
    <row r="247" spans="1:24" ht="15">
      <c r="A247" s="51" t="s">
        <v>318</v>
      </c>
      <c r="B247" s="24" t="s">
        <v>314</v>
      </c>
      <c r="C247" s="52">
        <f>50000+40000+5000</f>
        <v>95000</v>
      </c>
      <c r="D247" s="52"/>
      <c r="E247" s="52"/>
      <c r="F247" s="52"/>
      <c r="G247" s="52"/>
      <c r="H247" s="17">
        <v>117949</v>
      </c>
      <c r="I247" s="17"/>
      <c r="J247" s="17"/>
      <c r="K247" s="52">
        <v>80598</v>
      </c>
      <c r="L247" s="52"/>
      <c r="M247" s="52"/>
      <c r="N247" s="52"/>
      <c r="O247" s="52"/>
      <c r="P247" s="52"/>
      <c r="Q247" s="52">
        <f>135000-14910</f>
        <v>120090</v>
      </c>
      <c r="R247" s="52"/>
      <c r="S247" s="52"/>
      <c r="T247" s="128">
        <f t="shared" si="34"/>
        <v>413637</v>
      </c>
      <c r="U247" s="185"/>
      <c r="V247" s="185"/>
      <c r="W247" s="195"/>
      <c r="X247" s="201"/>
    </row>
    <row r="248" spans="1:24" ht="15">
      <c r="A248" s="151" t="s">
        <v>424</v>
      </c>
      <c r="B248" s="24" t="s">
        <v>425</v>
      </c>
      <c r="C248" s="52">
        <f>302232-752</f>
        <v>301480</v>
      </c>
      <c r="D248" s="52"/>
      <c r="E248" s="52"/>
      <c r="F248" s="52"/>
      <c r="G248" s="52"/>
      <c r="H248" s="17"/>
      <c r="I248" s="17"/>
      <c r="J248" s="17"/>
      <c r="K248" s="52"/>
      <c r="L248" s="52"/>
      <c r="M248" s="52"/>
      <c r="N248" s="52"/>
      <c r="O248" s="52"/>
      <c r="P248" s="52"/>
      <c r="Q248" s="52"/>
      <c r="R248" s="52"/>
      <c r="S248" s="52"/>
      <c r="T248" s="128">
        <f t="shared" si="34"/>
        <v>301480</v>
      </c>
      <c r="U248" s="185"/>
      <c r="V248" s="185"/>
      <c r="W248" s="195"/>
      <c r="X248" s="201"/>
    </row>
    <row r="249" spans="1:24" ht="15">
      <c r="A249" s="51" t="s">
        <v>319</v>
      </c>
      <c r="B249" s="24" t="s">
        <v>315</v>
      </c>
      <c r="C249" s="52">
        <f>85000-40000-5000</f>
        <v>40000</v>
      </c>
      <c r="D249" s="52"/>
      <c r="E249" s="52"/>
      <c r="F249" s="52"/>
      <c r="G249" s="52"/>
      <c r="H249" s="17"/>
      <c r="I249" s="17"/>
      <c r="J249" s="17"/>
      <c r="K249" s="52">
        <v>6162</v>
      </c>
      <c r="L249" s="52"/>
      <c r="M249" s="52"/>
      <c r="N249" s="52"/>
      <c r="O249" s="52"/>
      <c r="P249" s="52"/>
      <c r="Q249" s="52">
        <f>58418-3200</f>
        <v>55218</v>
      </c>
      <c r="R249" s="52"/>
      <c r="S249" s="52"/>
      <c r="T249" s="128">
        <f t="shared" si="34"/>
        <v>101380</v>
      </c>
      <c r="U249" s="185"/>
      <c r="V249" s="185"/>
      <c r="W249" s="195"/>
      <c r="X249" s="201"/>
    </row>
    <row r="250" spans="1:24" ht="15">
      <c r="A250" s="151" t="s">
        <v>150</v>
      </c>
      <c r="B250" s="24" t="s">
        <v>151</v>
      </c>
      <c r="C250" s="52"/>
      <c r="D250" s="52"/>
      <c r="E250" s="52"/>
      <c r="F250" s="52"/>
      <c r="G250" s="52"/>
      <c r="H250" s="17"/>
      <c r="I250" s="17"/>
      <c r="J250" s="17"/>
      <c r="K250" s="52"/>
      <c r="L250" s="52"/>
      <c r="M250" s="52"/>
      <c r="N250" s="52"/>
      <c r="O250" s="52"/>
      <c r="P250" s="52">
        <v>165200</v>
      </c>
      <c r="Q250" s="52"/>
      <c r="R250" s="52"/>
      <c r="S250" s="52"/>
      <c r="T250" s="128">
        <f t="shared" si="34"/>
        <v>165200</v>
      </c>
      <c r="U250" s="185"/>
      <c r="V250" s="185"/>
      <c r="W250" s="195"/>
      <c r="X250" s="201"/>
    </row>
    <row r="251" spans="1:24" ht="15">
      <c r="A251" s="151" t="s">
        <v>150</v>
      </c>
      <c r="B251" s="24" t="s">
        <v>595</v>
      </c>
      <c r="C251" s="52"/>
      <c r="D251" s="52"/>
      <c r="E251" s="52"/>
      <c r="F251" s="52"/>
      <c r="G251" s="52"/>
      <c r="H251" s="17"/>
      <c r="I251" s="17"/>
      <c r="J251" s="17"/>
      <c r="K251" s="52"/>
      <c r="L251" s="52"/>
      <c r="M251" s="52"/>
      <c r="N251" s="52"/>
      <c r="O251" s="52"/>
      <c r="P251" s="52"/>
      <c r="Q251" s="52">
        <v>20418</v>
      </c>
      <c r="R251" s="52"/>
      <c r="S251" s="52"/>
      <c r="T251" s="128">
        <f t="shared" si="34"/>
        <v>20418</v>
      </c>
      <c r="U251" s="185"/>
      <c r="V251" s="185"/>
      <c r="W251" s="195"/>
      <c r="X251" s="201"/>
    </row>
    <row r="252" spans="1:24" ht="30">
      <c r="A252" s="151" t="s">
        <v>150</v>
      </c>
      <c r="B252" s="24" t="s">
        <v>596</v>
      </c>
      <c r="C252" s="52"/>
      <c r="D252" s="52"/>
      <c r="E252" s="52"/>
      <c r="F252" s="52"/>
      <c r="G252" s="52"/>
      <c r="H252" s="17"/>
      <c r="I252" s="17"/>
      <c r="J252" s="17"/>
      <c r="K252" s="52"/>
      <c r="L252" s="52"/>
      <c r="M252" s="52"/>
      <c r="N252" s="52"/>
      <c r="O252" s="52"/>
      <c r="P252" s="52"/>
      <c r="Q252" s="52">
        <v>2000</v>
      </c>
      <c r="R252" s="52"/>
      <c r="S252" s="52"/>
      <c r="T252" s="128">
        <f t="shared" si="34"/>
        <v>2000</v>
      </c>
      <c r="U252" s="185"/>
      <c r="V252" s="185"/>
      <c r="W252" s="195"/>
      <c r="X252" s="201"/>
    </row>
    <row r="253" spans="1:24" ht="21.75" customHeight="1">
      <c r="A253" s="127" t="s">
        <v>415</v>
      </c>
      <c r="B253" s="90" t="s">
        <v>416</v>
      </c>
      <c r="C253" s="93">
        <f>283758-5450+134886+5000+10159+8686</f>
        <v>437039</v>
      </c>
      <c r="D253" s="93"/>
      <c r="E253" s="93"/>
      <c r="F253" s="93"/>
      <c r="G253" s="93"/>
      <c r="H253" s="33"/>
      <c r="I253" s="33"/>
      <c r="J253" s="33"/>
      <c r="K253" s="93"/>
      <c r="L253" s="93"/>
      <c r="M253" s="93"/>
      <c r="N253" s="93"/>
      <c r="O253" s="93"/>
      <c r="P253" s="93"/>
      <c r="Q253" s="93"/>
      <c r="R253" s="93">
        <v>122891</v>
      </c>
      <c r="S253" s="93"/>
      <c r="T253" s="128">
        <f t="shared" si="34"/>
        <v>559930</v>
      </c>
      <c r="U253" s="185"/>
      <c r="V253" s="185"/>
      <c r="W253" s="195"/>
      <c r="X253" s="201"/>
    </row>
    <row r="254" spans="1:24" ht="30">
      <c r="A254" s="151" t="s">
        <v>415</v>
      </c>
      <c r="B254" s="24" t="s">
        <v>629</v>
      </c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33">
        <f>375000-105000</f>
        <v>270000</v>
      </c>
      <c r="S254" s="265"/>
      <c r="T254" s="128">
        <f t="shared" si="34"/>
        <v>270000</v>
      </c>
      <c r="U254" s="185"/>
      <c r="V254" s="185"/>
      <c r="W254" s="195"/>
      <c r="X254" s="201"/>
    </row>
    <row r="255" spans="1:24" ht="30.75" customHeight="1" thickBot="1">
      <c r="A255" s="167" t="s">
        <v>114</v>
      </c>
      <c r="B255" s="168" t="s">
        <v>238</v>
      </c>
      <c r="C255" s="169">
        <f aca="true" t="shared" si="37" ref="C255:S255">SUM(C256:C301)</f>
        <v>13259339</v>
      </c>
      <c r="D255" s="169">
        <f t="shared" si="37"/>
        <v>0</v>
      </c>
      <c r="E255" s="169">
        <f t="shared" si="37"/>
        <v>0</v>
      </c>
      <c r="F255" s="169">
        <f t="shared" si="37"/>
        <v>0</v>
      </c>
      <c r="G255" s="169">
        <f t="shared" si="37"/>
        <v>0</v>
      </c>
      <c r="H255" s="169">
        <f t="shared" si="37"/>
        <v>38007</v>
      </c>
      <c r="I255" s="169">
        <f t="shared" si="37"/>
        <v>0</v>
      </c>
      <c r="J255" s="169">
        <f t="shared" si="37"/>
        <v>34548</v>
      </c>
      <c r="K255" s="169">
        <f t="shared" si="37"/>
        <v>74941</v>
      </c>
      <c r="L255" s="169">
        <f t="shared" si="37"/>
        <v>42567</v>
      </c>
      <c r="M255" s="169">
        <f t="shared" si="37"/>
        <v>21850</v>
      </c>
      <c r="N255" s="169">
        <f t="shared" si="37"/>
        <v>16865</v>
      </c>
      <c r="O255" s="169">
        <f t="shared" si="37"/>
        <v>19857</v>
      </c>
      <c r="P255" s="169">
        <f t="shared" si="37"/>
        <v>93984</v>
      </c>
      <c r="Q255" s="169">
        <f t="shared" si="37"/>
        <v>327575</v>
      </c>
      <c r="R255" s="169">
        <f t="shared" si="37"/>
        <v>153889</v>
      </c>
      <c r="S255" s="169">
        <f t="shared" si="37"/>
        <v>0</v>
      </c>
      <c r="T255" s="170">
        <f>SUM(C255:S255)</f>
        <v>14083422</v>
      </c>
      <c r="U255" s="185"/>
      <c r="V255" s="185"/>
      <c r="W255" s="195"/>
      <c r="X255" s="201"/>
    </row>
    <row r="256" spans="1:24" ht="30.75" customHeight="1">
      <c r="A256" s="148" t="s">
        <v>316</v>
      </c>
      <c r="B256" s="35" t="s">
        <v>317</v>
      </c>
      <c r="C256" s="80">
        <f>41843+21178+3724</f>
        <v>66745</v>
      </c>
      <c r="D256" s="147"/>
      <c r="E256" s="147"/>
      <c r="F256" s="147"/>
      <c r="G256" s="147"/>
      <c r="H256" s="165"/>
      <c r="I256" s="165"/>
      <c r="J256" s="165"/>
      <c r="K256" s="147"/>
      <c r="L256" s="147"/>
      <c r="M256" s="147"/>
      <c r="N256" s="147"/>
      <c r="O256" s="180"/>
      <c r="P256" s="238"/>
      <c r="Q256" s="253">
        <v>27283</v>
      </c>
      <c r="R256" s="297">
        <v>13365</v>
      </c>
      <c r="S256" s="122"/>
      <c r="T256" s="50">
        <f t="shared" si="34"/>
        <v>107393</v>
      </c>
      <c r="U256" s="185"/>
      <c r="V256" s="185"/>
      <c r="W256" s="195"/>
      <c r="X256" s="201"/>
    </row>
    <row r="257" spans="1:24" ht="30.75" customHeight="1">
      <c r="A257" s="171" t="s">
        <v>339</v>
      </c>
      <c r="B257" s="172" t="s">
        <v>340</v>
      </c>
      <c r="C257" s="17">
        <f>119646+135640+72229-11441</f>
        <v>316074</v>
      </c>
      <c r="D257" s="33"/>
      <c r="E257" s="33"/>
      <c r="F257" s="33"/>
      <c r="G257" s="33"/>
      <c r="H257" s="33"/>
      <c r="I257" s="33"/>
      <c r="J257" s="33">
        <v>5179</v>
      </c>
      <c r="K257" s="33">
        <f>577+1870</f>
        <v>2447</v>
      </c>
      <c r="L257" s="33"/>
      <c r="M257" s="33"/>
      <c r="N257" s="33"/>
      <c r="O257" s="93">
        <v>1512</v>
      </c>
      <c r="P257" s="17">
        <v>85199</v>
      </c>
      <c r="Q257" s="52">
        <f>34881+20798</f>
        <v>55679</v>
      </c>
      <c r="R257" s="93"/>
      <c r="S257" s="93"/>
      <c r="T257" s="128">
        <f t="shared" si="34"/>
        <v>466090</v>
      </c>
      <c r="U257" s="185"/>
      <c r="V257" s="185"/>
      <c r="W257" s="195"/>
      <c r="X257" s="201"/>
    </row>
    <row r="258" spans="1:24" ht="15.75">
      <c r="A258" s="171" t="s">
        <v>366</v>
      </c>
      <c r="B258" s="173" t="s">
        <v>367</v>
      </c>
      <c r="C258" s="17">
        <f>55692-1451</f>
        <v>54241</v>
      </c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93"/>
      <c r="P258" s="33"/>
      <c r="Q258" s="93"/>
      <c r="R258" s="52">
        <v>9046</v>
      </c>
      <c r="S258" s="93"/>
      <c r="T258" s="128">
        <f t="shared" si="34"/>
        <v>63287</v>
      </c>
      <c r="U258" s="185"/>
      <c r="V258" s="185"/>
      <c r="W258" s="195"/>
      <c r="X258" s="201"/>
    </row>
    <row r="259" spans="1:24" ht="30.75" customHeight="1">
      <c r="A259" s="171" t="s">
        <v>368</v>
      </c>
      <c r="B259" s="173" t="s">
        <v>369</v>
      </c>
      <c r="C259" s="17">
        <f>11490-7567</f>
        <v>3923</v>
      </c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93"/>
      <c r="P259" s="33"/>
      <c r="Q259" s="93"/>
      <c r="R259" s="93"/>
      <c r="S259" s="93"/>
      <c r="T259" s="128">
        <f t="shared" si="34"/>
        <v>3923</v>
      </c>
      <c r="U259" s="185"/>
      <c r="V259" s="185"/>
      <c r="W259" s="195"/>
      <c r="X259" s="201"/>
    </row>
    <row r="260" spans="1:24" ht="30.75" customHeight="1">
      <c r="A260" s="171" t="s">
        <v>370</v>
      </c>
      <c r="B260" s="174" t="s">
        <v>371</v>
      </c>
      <c r="C260" s="17">
        <f>7892-4000</f>
        <v>3892</v>
      </c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93"/>
      <c r="P260" s="33"/>
      <c r="Q260" s="93"/>
      <c r="R260" s="93"/>
      <c r="S260" s="93"/>
      <c r="T260" s="128">
        <f t="shared" si="34"/>
        <v>3892</v>
      </c>
      <c r="U260" s="185"/>
      <c r="V260" s="185"/>
      <c r="W260" s="195"/>
      <c r="X260" s="201"/>
    </row>
    <row r="261" spans="1:24" ht="15">
      <c r="A261" s="148" t="s">
        <v>239</v>
      </c>
      <c r="B261" s="5" t="s">
        <v>417</v>
      </c>
      <c r="C261" s="52"/>
      <c r="D261" s="17"/>
      <c r="E261" s="17"/>
      <c r="F261" s="52"/>
      <c r="G261" s="52"/>
      <c r="H261" s="17">
        <v>28147</v>
      </c>
      <c r="I261" s="17"/>
      <c r="J261" s="17">
        <v>21331</v>
      </c>
      <c r="K261" s="17"/>
      <c r="L261" s="17">
        <f>43934-1367</f>
        <v>42567</v>
      </c>
      <c r="M261" s="17">
        <f>19935+1915</f>
        <v>21850</v>
      </c>
      <c r="N261" s="17"/>
      <c r="O261" s="52"/>
      <c r="P261" s="52"/>
      <c r="Q261" s="52"/>
      <c r="R261" s="52"/>
      <c r="S261" s="52"/>
      <c r="T261" s="128">
        <f t="shared" si="34"/>
        <v>113895</v>
      </c>
      <c r="U261" s="185"/>
      <c r="V261" s="185"/>
      <c r="W261" s="195"/>
      <c r="X261" s="201"/>
    </row>
    <row r="262" spans="1:24" ht="15">
      <c r="A262" s="148" t="s">
        <v>240</v>
      </c>
      <c r="B262" s="22" t="s">
        <v>286</v>
      </c>
      <c r="C262" s="80"/>
      <c r="D262" s="17"/>
      <c r="E262" s="17"/>
      <c r="F262" s="52"/>
      <c r="G262" s="52"/>
      <c r="H262" s="17"/>
      <c r="I262" s="17"/>
      <c r="J262" s="17"/>
      <c r="K262" s="17">
        <v>8426</v>
      </c>
      <c r="L262" s="17"/>
      <c r="M262" s="17"/>
      <c r="N262" s="17">
        <v>16865</v>
      </c>
      <c r="O262" s="56">
        <v>18345</v>
      </c>
      <c r="P262" s="17"/>
      <c r="Q262" s="17"/>
      <c r="R262" s="56"/>
      <c r="S262" s="52"/>
      <c r="T262" s="128">
        <f t="shared" si="34"/>
        <v>43636</v>
      </c>
      <c r="U262" s="185"/>
      <c r="V262" s="185"/>
      <c r="W262" s="195"/>
      <c r="X262" s="201"/>
    </row>
    <row r="263" spans="1:24" ht="47.25">
      <c r="A263" s="171" t="s">
        <v>372</v>
      </c>
      <c r="B263" s="175" t="s">
        <v>373</v>
      </c>
      <c r="C263" s="52">
        <v>11709</v>
      </c>
      <c r="D263" s="17"/>
      <c r="E263" s="17"/>
      <c r="F263" s="52"/>
      <c r="G263" s="52"/>
      <c r="H263" s="17"/>
      <c r="I263" s="17"/>
      <c r="J263" s="17"/>
      <c r="K263" s="17"/>
      <c r="L263" s="17"/>
      <c r="M263" s="17"/>
      <c r="N263" s="17"/>
      <c r="O263" s="52"/>
      <c r="P263" s="52"/>
      <c r="Q263" s="52"/>
      <c r="R263" s="52"/>
      <c r="S263" s="52"/>
      <c r="T263" s="128">
        <f t="shared" si="34"/>
        <v>11709</v>
      </c>
      <c r="U263" s="185"/>
      <c r="V263" s="185"/>
      <c r="W263" s="195"/>
      <c r="X263" s="201"/>
    </row>
    <row r="264" spans="1:24" ht="47.25">
      <c r="A264" s="171" t="s">
        <v>374</v>
      </c>
      <c r="B264" s="173" t="s">
        <v>375</v>
      </c>
      <c r="C264" s="52">
        <v>8234</v>
      </c>
      <c r="D264" s="17"/>
      <c r="E264" s="17"/>
      <c r="F264" s="52"/>
      <c r="G264" s="52"/>
      <c r="H264" s="17"/>
      <c r="I264" s="17"/>
      <c r="J264" s="17"/>
      <c r="K264" s="17"/>
      <c r="L264" s="17"/>
      <c r="M264" s="17"/>
      <c r="N264" s="17"/>
      <c r="O264" s="52"/>
      <c r="P264" s="52"/>
      <c r="Q264" s="52"/>
      <c r="R264" s="52"/>
      <c r="S264" s="52"/>
      <c r="T264" s="128">
        <f t="shared" si="34"/>
        <v>8234</v>
      </c>
      <c r="U264" s="185"/>
      <c r="V264" s="185"/>
      <c r="W264" s="195"/>
      <c r="X264" s="201"/>
    </row>
    <row r="265" spans="1:24" ht="60">
      <c r="A265" s="171" t="s">
        <v>383</v>
      </c>
      <c r="B265" s="150" t="s">
        <v>382</v>
      </c>
      <c r="C265" s="52">
        <v>5538</v>
      </c>
      <c r="D265" s="17"/>
      <c r="E265" s="17"/>
      <c r="F265" s="52"/>
      <c r="G265" s="52"/>
      <c r="H265" s="17"/>
      <c r="I265" s="17"/>
      <c r="J265" s="17"/>
      <c r="K265" s="17"/>
      <c r="L265" s="17"/>
      <c r="M265" s="17"/>
      <c r="N265" s="17"/>
      <c r="O265" s="52"/>
      <c r="P265" s="52"/>
      <c r="Q265" s="52"/>
      <c r="R265" s="52"/>
      <c r="S265" s="52"/>
      <c r="T265" s="128">
        <f t="shared" si="34"/>
        <v>5538</v>
      </c>
      <c r="U265" s="185"/>
      <c r="V265" s="185"/>
      <c r="W265" s="195"/>
      <c r="X265" s="201"/>
    </row>
    <row r="266" spans="1:24" ht="30">
      <c r="A266" s="51" t="s">
        <v>275</v>
      </c>
      <c r="B266" s="150" t="s">
        <v>418</v>
      </c>
      <c r="C266" s="52">
        <v>11628587</v>
      </c>
      <c r="D266" s="17"/>
      <c r="E266" s="17"/>
      <c r="F266" s="52"/>
      <c r="G266" s="52"/>
      <c r="H266" s="17"/>
      <c r="I266" s="17"/>
      <c r="J266" s="17"/>
      <c r="K266" s="17"/>
      <c r="L266" s="17"/>
      <c r="M266" s="17"/>
      <c r="N266" s="17"/>
      <c r="O266" s="52"/>
      <c r="P266" s="52"/>
      <c r="Q266" s="52"/>
      <c r="R266" s="52"/>
      <c r="S266" s="52"/>
      <c r="T266" s="128">
        <f t="shared" si="34"/>
        <v>11628587</v>
      </c>
      <c r="U266" s="185"/>
      <c r="V266" s="185"/>
      <c r="W266" s="195"/>
      <c r="X266" s="201"/>
    </row>
    <row r="267" spans="1:24" ht="28.5" customHeight="1">
      <c r="A267" s="148" t="s">
        <v>280</v>
      </c>
      <c r="B267" s="176" t="s">
        <v>376</v>
      </c>
      <c r="C267" s="52">
        <v>5249</v>
      </c>
      <c r="D267" s="17"/>
      <c r="E267" s="17"/>
      <c r="F267" s="52"/>
      <c r="G267" s="52"/>
      <c r="H267" s="17"/>
      <c r="I267" s="17"/>
      <c r="J267" s="17"/>
      <c r="K267" s="17"/>
      <c r="L267" s="17"/>
      <c r="M267" s="17"/>
      <c r="N267" s="17"/>
      <c r="O267" s="52"/>
      <c r="P267" s="52"/>
      <c r="Q267" s="52"/>
      <c r="R267" s="52"/>
      <c r="S267" s="52"/>
      <c r="T267" s="128">
        <f t="shared" si="34"/>
        <v>5249</v>
      </c>
      <c r="U267" s="185"/>
      <c r="V267" s="185"/>
      <c r="W267" s="195"/>
      <c r="X267" s="201"/>
    </row>
    <row r="268" spans="1:24" ht="30">
      <c r="A268" s="19" t="s">
        <v>323</v>
      </c>
      <c r="B268" s="177" t="s">
        <v>322</v>
      </c>
      <c r="C268" s="52">
        <f>77720+49436-571</f>
        <v>126585</v>
      </c>
      <c r="D268" s="52"/>
      <c r="E268" s="52"/>
      <c r="F268" s="52"/>
      <c r="G268" s="52"/>
      <c r="H268" s="17">
        <v>9860</v>
      </c>
      <c r="I268" s="65"/>
      <c r="J268" s="65">
        <v>5568</v>
      </c>
      <c r="K268" s="65"/>
      <c r="L268" s="65"/>
      <c r="M268" s="65"/>
      <c r="N268" s="65"/>
      <c r="O268" s="69"/>
      <c r="P268" s="69">
        <v>8785</v>
      </c>
      <c r="Q268" s="69"/>
      <c r="R268" s="69"/>
      <c r="S268" s="52"/>
      <c r="T268" s="128">
        <f t="shared" si="34"/>
        <v>150798</v>
      </c>
      <c r="U268" s="185"/>
      <c r="V268" s="185"/>
      <c r="W268" s="195"/>
      <c r="X268" s="201"/>
    </row>
    <row r="269" spans="1:24" ht="45" customHeight="1">
      <c r="A269" s="178" t="s">
        <v>341</v>
      </c>
      <c r="B269" s="172" t="s">
        <v>342</v>
      </c>
      <c r="C269" s="17">
        <v>3656</v>
      </c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52"/>
      <c r="P269" s="52"/>
      <c r="Q269" s="52"/>
      <c r="R269" s="52"/>
      <c r="S269" s="52"/>
      <c r="T269" s="128">
        <f t="shared" si="34"/>
        <v>3656</v>
      </c>
      <c r="U269" s="185"/>
      <c r="V269" s="185"/>
      <c r="W269" s="195"/>
      <c r="X269" s="201"/>
    </row>
    <row r="270" spans="1:24" ht="47.25" customHeight="1">
      <c r="A270" s="178" t="s">
        <v>377</v>
      </c>
      <c r="B270" s="173" t="s">
        <v>378</v>
      </c>
      <c r="C270" s="52">
        <v>4538</v>
      </c>
      <c r="D270" s="52"/>
      <c r="E270" s="52"/>
      <c r="F270" s="52"/>
      <c r="G270" s="52"/>
      <c r="H270" s="17"/>
      <c r="I270" s="52"/>
      <c r="J270" s="52"/>
      <c r="K270" s="52"/>
      <c r="L270" s="52"/>
      <c r="M270" s="52"/>
      <c r="N270" s="52"/>
      <c r="O270" s="52"/>
      <c r="P270" s="17"/>
      <c r="Q270" s="52"/>
      <c r="R270" s="52"/>
      <c r="S270" s="52"/>
      <c r="T270" s="128">
        <f t="shared" si="34"/>
        <v>4538</v>
      </c>
      <c r="U270" s="185"/>
      <c r="V270" s="185"/>
      <c r="W270" s="195"/>
      <c r="X270" s="201"/>
    </row>
    <row r="271" spans="1:24" ht="47.25" customHeight="1">
      <c r="A271" s="178" t="s">
        <v>432</v>
      </c>
      <c r="B271" s="226" t="s">
        <v>431</v>
      </c>
      <c r="C271" s="17">
        <f>4281-580</f>
        <v>3701</v>
      </c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80"/>
      <c r="P271" s="79"/>
      <c r="Q271" s="80"/>
      <c r="R271" s="80"/>
      <c r="S271" s="52"/>
      <c r="T271" s="128">
        <f t="shared" si="34"/>
        <v>3701</v>
      </c>
      <c r="U271" s="185"/>
      <c r="V271" s="185"/>
      <c r="W271" s="195"/>
      <c r="X271" s="201"/>
    </row>
    <row r="272" spans="1:24" ht="47.25" customHeight="1">
      <c r="A272" s="178" t="s">
        <v>434</v>
      </c>
      <c r="B272" s="227" t="s">
        <v>433</v>
      </c>
      <c r="C272" s="17">
        <v>11155</v>
      </c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52"/>
      <c r="P272" s="17"/>
      <c r="Q272" s="52"/>
      <c r="R272" s="52"/>
      <c r="S272" s="52"/>
      <c r="T272" s="128">
        <f t="shared" si="34"/>
        <v>11155</v>
      </c>
      <c r="U272" s="185"/>
      <c r="V272" s="185"/>
      <c r="W272" s="195"/>
      <c r="X272" s="201"/>
    </row>
    <row r="273" spans="1:24" ht="47.25" customHeight="1">
      <c r="A273" s="178" t="s">
        <v>436</v>
      </c>
      <c r="B273" s="227" t="s">
        <v>435</v>
      </c>
      <c r="C273" s="17">
        <v>21664</v>
      </c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80"/>
      <c r="P273" s="80"/>
      <c r="Q273" s="80"/>
      <c r="R273" s="80"/>
      <c r="S273" s="52"/>
      <c r="T273" s="128">
        <f t="shared" si="34"/>
        <v>21664</v>
      </c>
      <c r="U273" s="185"/>
      <c r="V273" s="185"/>
      <c r="W273" s="195"/>
      <c r="X273" s="201"/>
    </row>
    <row r="274" spans="1:24" ht="47.25" customHeight="1">
      <c r="A274" s="178" t="s">
        <v>438</v>
      </c>
      <c r="B274" s="227" t="s">
        <v>437</v>
      </c>
      <c r="C274" s="17">
        <v>22954</v>
      </c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52"/>
      <c r="P274" s="17"/>
      <c r="Q274" s="52"/>
      <c r="R274" s="52"/>
      <c r="S274" s="52"/>
      <c r="T274" s="128">
        <f t="shared" si="34"/>
        <v>22954</v>
      </c>
      <c r="U274" s="185"/>
      <c r="V274" s="185"/>
      <c r="W274" s="195"/>
      <c r="X274" s="201"/>
    </row>
    <row r="275" spans="1:24" ht="45">
      <c r="A275" s="178" t="s">
        <v>442</v>
      </c>
      <c r="B275" s="227" t="s">
        <v>441</v>
      </c>
      <c r="C275" s="17">
        <v>21617</v>
      </c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80"/>
      <c r="P275" s="79"/>
      <c r="Q275" s="80"/>
      <c r="R275" s="80"/>
      <c r="S275" s="52"/>
      <c r="T275" s="128">
        <f t="shared" si="34"/>
        <v>21617</v>
      </c>
      <c r="U275" s="185"/>
      <c r="V275" s="185"/>
      <c r="W275" s="195"/>
      <c r="X275" s="201"/>
    </row>
    <row r="276" spans="1:24" ht="47.25" customHeight="1">
      <c r="A276" s="178" t="s">
        <v>440</v>
      </c>
      <c r="B276" s="227" t="s">
        <v>439</v>
      </c>
      <c r="C276" s="17">
        <v>26560</v>
      </c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52"/>
      <c r="P276" s="17"/>
      <c r="Q276" s="52"/>
      <c r="R276" s="52"/>
      <c r="S276" s="52"/>
      <c r="T276" s="128">
        <f aca="true" t="shared" si="38" ref="T276:T325">SUM(C276:S276)</f>
        <v>26560</v>
      </c>
      <c r="U276" s="185"/>
      <c r="V276" s="185"/>
      <c r="W276" s="195"/>
      <c r="X276" s="201"/>
    </row>
    <row r="277" spans="1:24" ht="30">
      <c r="A277" s="178" t="s">
        <v>444</v>
      </c>
      <c r="B277" s="227" t="s">
        <v>443</v>
      </c>
      <c r="C277" s="17">
        <v>16368</v>
      </c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80"/>
      <c r="P277" s="79"/>
      <c r="Q277" s="80"/>
      <c r="R277" s="80"/>
      <c r="S277" s="52"/>
      <c r="T277" s="128">
        <f t="shared" si="38"/>
        <v>16368</v>
      </c>
      <c r="U277" s="185"/>
      <c r="V277" s="185"/>
      <c r="W277" s="195"/>
      <c r="X277" s="201"/>
    </row>
    <row r="278" spans="1:24" ht="47.25" customHeight="1">
      <c r="A278" s="222" t="s">
        <v>446</v>
      </c>
      <c r="B278" s="173" t="s">
        <v>445</v>
      </c>
      <c r="C278" s="17"/>
      <c r="D278" s="17"/>
      <c r="E278" s="17"/>
      <c r="F278" s="17"/>
      <c r="G278" s="17"/>
      <c r="H278" s="17"/>
      <c r="I278" s="17"/>
      <c r="J278" s="17"/>
      <c r="K278" s="17">
        <v>58368</v>
      </c>
      <c r="L278" s="17"/>
      <c r="M278" s="17"/>
      <c r="N278" s="17"/>
      <c r="O278" s="52"/>
      <c r="P278" s="17"/>
      <c r="Q278" s="52"/>
      <c r="R278" s="52"/>
      <c r="S278" s="52"/>
      <c r="T278" s="128">
        <f t="shared" si="38"/>
        <v>58368</v>
      </c>
      <c r="U278" s="185"/>
      <c r="V278" s="185"/>
      <c r="W278" s="195"/>
      <c r="X278" s="201"/>
    </row>
    <row r="279" spans="1:24" ht="47.25" customHeight="1">
      <c r="A279" s="222" t="s">
        <v>470</v>
      </c>
      <c r="B279" s="228" t="s">
        <v>469</v>
      </c>
      <c r="C279" s="52">
        <v>1253</v>
      </c>
      <c r="D279" s="52"/>
      <c r="E279" s="52"/>
      <c r="F279" s="52"/>
      <c r="G279" s="52"/>
      <c r="H279" s="17"/>
      <c r="I279" s="52"/>
      <c r="J279" s="52"/>
      <c r="K279" s="52"/>
      <c r="L279" s="52"/>
      <c r="M279" s="52"/>
      <c r="N279" s="52"/>
      <c r="O279" s="52"/>
      <c r="P279" s="17"/>
      <c r="Q279" s="52"/>
      <c r="R279" s="52"/>
      <c r="S279" s="52"/>
      <c r="T279" s="128">
        <f t="shared" si="38"/>
        <v>1253</v>
      </c>
      <c r="U279" s="185"/>
      <c r="V279" s="185"/>
      <c r="W279" s="195"/>
      <c r="X279" s="201"/>
    </row>
    <row r="280" spans="1:24" ht="30">
      <c r="A280" s="222" t="s">
        <v>473</v>
      </c>
      <c r="B280" s="27" t="s">
        <v>682</v>
      </c>
      <c r="C280" s="52">
        <f>465736+4020+81463</f>
        <v>551219</v>
      </c>
      <c r="D280" s="52"/>
      <c r="E280" s="52"/>
      <c r="F280" s="52"/>
      <c r="G280" s="52"/>
      <c r="H280" s="17"/>
      <c r="I280" s="52"/>
      <c r="J280" s="52"/>
      <c r="K280" s="52"/>
      <c r="L280" s="52"/>
      <c r="M280" s="52"/>
      <c r="N280" s="52"/>
      <c r="O280" s="52"/>
      <c r="P280" s="17"/>
      <c r="Q280" s="52"/>
      <c r="R280" s="52"/>
      <c r="S280" s="52"/>
      <c r="T280" s="128">
        <f t="shared" si="38"/>
        <v>551219</v>
      </c>
      <c r="U280" s="185"/>
      <c r="V280" s="185"/>
      <c r="W280" s="195"/>
      <c r="X280" s="201"/>
    </row>
    <row r="281" spans="1:24" ht="45">
      <c r="A281" s="222" t="s">
        <v>520</v>
      </c>
      <c r="B281" s="27" t="s">
        <v>521</v>
      </c>
      <c r="C281" s="52">
        <v>20026</v>
      </c>
      <c r="D281" s="52"/>
      <c r="E281" s="52"/>
      <c r="F281" s="52"/>
      <c r="G281" s="52"/>
      <c r="H281" s="17"/>
      <c r="I281" s="52"/>
      <c r="J281" s="52"/>
      <c r="K281" s="52"/>
      <c r="L281" s="52"/>
      <c r="M281" s="52"/>
      <c r="N281" s="52"/>
      <c r="O281" s="52"/>
      <c r="P281" s="17"/>
      <c r="Q281" s="52"/>
      <c r="R281" s="52"/>
      <c r="S281" s="52"/>
      <c r="T281" s="128">
        <f t="shared" si="38"/>
        <v>20026</v>
      </c>
      <c r="U281" s="185"/>
      <c r="V281" s="185"/>
      <c r="W281" s="195"/>
      <c r="X281" s="201"/>
    </row>
    <row r="282" spans="1:24" ht="45">
      <c r="A282" s="222" t="s">
        <v>522</v>
      </c>
      <c r="B282" s="27" t="s">
        <v>523</v>
      </c>
      <c r="C282" s="52">
        <v>26222</v>
      </c>
      <c r="D282" s="52"/>
      <c r="E282" s="52"/>
      <c r="F282" s="52"/>
      <c r="G282" s="52"/>
      <c r="H282" s="17"/>
      <c r="I282" s="52"/>
      <c r="J282" s="52"/>
      <c r="K282" s="52"/>
      <c r="L282" s="52"/>
      <c r="M282" s="52"/>
      <c r="N282" s="52"/>
      <c r="O282" s="52"/>
      <c r="P282" s="17"/>
      <c r="Q282" s="52"/>
      <c r="R282" s="52"/>
      <c r="S282" s="52"/>
      <c r="T282" s="128">
        <f t="shared" si="38"/>
        <v>26222</v>
      </c>
      <c r="U282" s="185"/>
      <c r="V282" s="185"/>
      <c r="W282" s="195"/>
      <c r="X282" s="201"/>
    </row>
    <row r="283" spans="1:24" ht="30">
      <c r="A283" s="222" t="s">
        <v>531</v>
      </c>
      <c r="B283" s="27" t="s">
        <v>534</v>
      </c>
      <c r="C283" s="52">
        <v>91600</v>
      </c>
      <c r="D283" s="52"/>
      <c r="E283" s="52"/>
      <c r="F283" s="52"/>
      <c r="G283" s="52"/>
      <c r="H283" s="17"/>
      <c r="I283" s="52"/>
      <c r="J283" s="52"/>
      <c r="K283" s="52"/>
      <c r="L283" s="52"/>
      <c r="M283" s="52"/>
      <c r="N283" s="52"/>
      <c r="O283" s="52"/>
      <c r="P283" s="17"/>
      <c r="Q283" s="52"/>
      <c r="R283" s="52"/>
      <c r="S283" s="52"/>
      <c r="T283" s="128">
        <f t="shared" si="38"/>
        <v>91600</v>
      </c>
      <c r="U283" s="185"/>
      <c r="V283" s="185"/>
      <c r="W283" s="195"/>
      <c r="X283" s="201"/>
    </row>
    <row r="284" spans="1:24" ht="30">
      <c r="A284" s="222" t="s">
        <v>532</v>
      </c>
      <c r="B284" s="27" t="s">
        <v>535</v>
      </c>
      <c r="C284" s="52">
        <v>98892</v>
      </c>
      <c r="D284" s="52"/>
      <c r="E284" s="52"/>
      <c r="F284" s="52"/>
      <c r="G284" s="52"/>
      <c r="H284" s="17"/>
      <c r="I284" s="52"/>
      <c r="J284" s="52"/>
      <c r="K284" s="52"/>
      <c r="L284" s="52"/>
      <c r="M284" s="52"/>
      <c r="N284" s="52"/>
      <c r="O284" s="52"/>
      <c r="P284" s="17"/>
      <c r="Q284" s="52"/>
      <c r="R284" s="52"/>
      <c r="S284" s="52"/>
      <c r="T284" s="128">
        <f t="shared" si="38"/>
        <v>98892</v>
      </c>
      <c r="U284" s="185"/>
      <c r="V284" s="185"/>
      <c r="W284" s="195"/>
      <c r="X284" s="201"/>
    </row>
    <row r="285" spans="1:24" ht="45">
      <c r="A285" s="282" t="s">
        <v>655</v>
      </c>
      <c r="B285" s="227" t="s">
        <v>656</v>
      </c>
      <c r="C285" s="52">
        <f>57379-15478</f>
        <v>41901</v>
      </c>
      <c r="D285" s="52"/>
      <c r="E285" s="52"/>
      <c r="F285" s="52"/>
      <c r="G285" s="52"/>
      <c r="H285" s="17"/>
      <c r="I285" s="52"/>
      <c r="J285" s="52">
        <v>2470</v>
      </c>
      <c r="K285" s="52">
        <v>5700</v>
      </c>
      <c r="L285" s="52"/>
      <c r="M285" s="52"/>
      <c r="N285" s="52"/>
      <c r="O285" s="52"/>
      <c r="P285" s="52"/>
      <c r="Q285" s="17">
        <f>8799+4</f>
        <v>8803</v>
      </c>
      <c r="R285" s="52">
        <v>7922</v>
      </c>
      <c r="S285" s="52"/>
      <c r="T285" s="128">
        <f t="shared" si="38"/>
        <v>66796</v>
      </c>
      <c r="U285" s="185"/>
      <c r="V285" s="185"/>
      <c r="W285" s="195"/>
      <c r="X285" s="201"/>
    </row>
    <row r="286" spans="1:24" ht="45">
      <c r="A286" s="282" t="s">
        <v>660</v>
      </c>
      <c r="B286" s="227" t="s">
        <v>661</v>
      </c>
      <c r="C286" s="17">
        <v>8101</v>
      </c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28">
        <f t="shared" si="38"/>
        <v>8101</v>
      </c>
      <c r="U286" s="185"/>
      <c r="V286" s="185"/>
      <c r="W286" s="195"/>
      <c r="X286" s="201"/>
    </row>
    <row r="287" spans="1:24" ht="30">
      <c r="A287" s="282" t="s">
        <v>670</v>
      </c>
      <c r="B287" s="227" t="s">
        <v>671</v>
      </c>
      <c r="C287" s="17">
        <v>7604</v>
      </c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28">
        <f t="shared" si="38"/>
        <v>7604</v>
      </c>
      <c r="U287" s="185"/>
      <c r="V287" s="185"/>
      <c r="W287" s="195"/>
      <c r="X287" s="201"/>
    </row>
    <row r="288" spans="1:24" ht="15">
      <c r="A288" s="287" t="s">
        <v>114</v>
      </c>
      <c r="B288" s="177" t="s">
        <v>597</v>
      </c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>
        <f>144013-9997-3708</f>
        <v>130308</v>
      </c>
      <c r="R288" s="17"/>
      <c r="S288" s="17"/>
      <c r="T288" s="293">
        <f t="shared" si="38"/>
        <v>130308</v>
      </c>
      <c r="U288" s="185"/>
      <c r="V288" s="185"/>
      <c r="W288" s="195"/>
      <c r="X288" s="201"/>
    </row>
    <row r="289" spans="1:24" ht="30">
      <c r="A289" s="287" t="s">
        <v>114</v>
      </c>
      <c r="B289" s="177" t="s">
        <v>598</v>
      </c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>
        <v>4900</v>
      </c>
      <c r="R289" s="52"/>
      <c r="S289" s="52"/>
      <c r="T289" s="128">
        <f t="shared" si="38"/>
        <v>4900</v>
      </c>
      <c r="U289" s="185"/>
      <c r="V289" s="185"/>
      <c r="W289" s="195"/>
      <c r="X289" s="201"/>
    </row>
    <row r="290" spans="1:24" ht="30">
      <c r="A290" s="287" t="s">
        <v>114</v>
      </c>
      <c r="B290" s="177" t="s">
        <v>599</v>
      </c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>
        <v>21630</v>
      </c>
      <c r="R290" s="52"/>
      <c r="S290" s="52"/>
      <c r="T290" s="128">
        <f t="shared" si="38"/>
        <v>21630</v>
      </c>
      <c r="U290" s="185"/>
      <c r="V290" s="185"/>
      <c r="W290" s="195"/>
      <c r="X290" s="201"/>
    </row>
    <row r="291" spans="1:24" ht="30">
      <c r="A291" s="287" t="s">
        <v>114</v>
      </c>
      <c r="B291" s="177" t="s">
        <v>600</v>
      </c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>
        <v>18380</v>
      </c>
      <c r="R291" s="52"/>
      <c r="S291" s="52"/>
      <c r="T291" s="128">
        <f t="shared" si="38"/>
        <v>18380</v>
      </c>
      <c r="U291" s="185"/>
      <c r="V291" s="185"/>
      <c r="W291" s="195"/>
      <c r="X291" s="201"/>
    </row>
    <row r="292" spans="1:24" ht="30">
      <c r="A292" s="287" t="s">
        <v>114</v>
      </c>
      <c r="B292" s="177" t="s">
        <v>601</v>
      </c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>
        <v>11292</v>
      </c>
      <c r="R292" s="52"/>
      <c r="S292" s="52"/>
      <c r="T292" s="128">
        <f t="shared" si="38"/>
        <v>11292</v>
      </c>
      <c r="U292" s="185"/>
      <c r="V292" s="185"/>
      <c r="W292" s="195"/>
      <c r="X292" s="201"/>
    </row>
    <row r="293" spans="1:24" ht="30">
      <c r="A293" s="287" t="s">
        <v>114</v>
      </c>
      <c r="B293" s="177" t="s">
        <v>602</v>
      </c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>
        <v>27956</v>
      </c>
      <c r="R293" s="52"/>
      <c r="S293" s="52"/>
      <c r="T293" s="128">
        <f t="shared" si="38"/>
        <v>27956</v>
      </c>
      <c r="U293" s="185"/>
      <c r="V293" s="185"/>
      <c r="W293" s="195"/>
      <c r="X293" s="201"/>
    </row>
    <row r="294" spans="1:24" ht="30">
      <c r="A294" s="287" t="s">
        <v>114</v>
      </c>
      <c r="B294" s="177" t="s">
        <v>603</v>
      </c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>
        <v>21344</v>
      </c>
      <c r="R294" s="52"/>
      <c r="S294" s="52"/>
      <c r="T294" s="128">
        <f t="shared" si="38"/>
        <v>21344</v>
      </c>
      <c r="U294" s="185"/>
      <c r="V294" s="185"/>
      <c r="W294" s="195"/>
      <c r="X294" s="201"/>
    </row>
    <row r="295" spans="1:24" ht="30">
      <c r="A295" s="287" t="s">
        <v>114</v>
      </c>
      <c r="B295" s="227" t="s">
        <v>630</v>
      </c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52">
        <v>20993</v>
      </c>
      <c r="S295" s="52"/>
      <c r="T295" s="128">
        <f t="shared" si="38"/>
        <v>20993</v>
      </c>
      <c r="U295" s="185"/>
      <c r="V295" s="185"/>
      <c r="W295" s="195"/>
      <c r="X295" s="201"/>
    </row>
    <row r="296" spans="1:24" ht="30">
      <c r="A296" s="287" t="s">
        <v>114</v>
      </c>
      <c r="B296" s="227" t="s">
        <v>631</v>
      </c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52">
        <v>77308</v>
      </c>
      <c r="S296" s="52"/>
      <c r="T296" s="128">
        <f t="shared" si="38"/>
        <v>77308</v>
      </c>
      <c r="U296" s="185"/>
      <c r="V296" s="185"/>
      <c r="W296" s="195"/>
      <c r="X296" s="201"/>
    </row>
    <row r="297" spans="1:24" ht="30">
      <c r="A297" s="287" t="s">
        <v>114</v>
      </c>
      <c r="B297" s="227" t="s">
        <v>632</v>
      </c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52">
        <v>14292</v>
      </c>
      <c r="S297" s="52"/>
      <c r="T297" s="128">
        <f t="shared" si="38"/>
        <v>14292</v>
      </c>
      <c r="U297" s="185"/>
      <c r="V297" s="185"/>
      <c r="W297" s="195"/>
      <c r="X297" s="201"/>
    </row>
    <row r="298" spans="1:24" ht="15">
      <c r="A298" s="287" t="s">
        <v>114</v>
      </c>
      <c r="B298" s="227" t="s">
        <v>642</v>
      </c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52">
        <v>10963</v>
      </c>
      <c r="S298" s="52"/>
      <c r="T298" s="128">
        <f t="shared" si="38"/>
        <v>10963</v>
      </c>
      <c r="U298" s="185"/>
      <c r="V298" s="185"/>
      <c r="W298" s="195"/>
      <c r="X298" s="201"/>
    </row>
    <row r="299" spans="1:24" ht="30">
      <c r="A299" s="287" t="s">
        <v>659</v>
      </c>
      <c r="B299" s="227" t="s">
        <v>633</v>
      </c>
      <c r="C299" s="17">
        <v>9973</v>
      </c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52"/>
      <c r="S299" s="52"/>
      <c r="T299" s="128">
        <f t="shared" si="38"/>
        <v>9973</v>
      </c>
      <c r="U299" s="185"/>
      <c r="V299" s="185"/>
      <c r="W299" s="195"/>
      <c r="X299" s="201"/>
    </row>
    <row r="300" spans="1:24" ht="30">
      <c r="A300" s="287" t="s">
        <v>676</v>
      </c>
      <c r="B300" s="227" t="s">
        <v>677</v>
      </c>
      <c r="C300" s="52">
        <v>1984</v>
      </c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128">
        <f t="shared" si="38"/>
        <v>1984</v>
      </c>
      <c r="U300" s="185"/>
      <c r="V300" s="185"/>
      <c r="W300" s="195"/>
      <c r="X300" s="201"/>
    </row>
    <row r="301" spans="1:24" ht="30.75" thickBot="1">
      <c r="A301" s="288" t="s">
        <v>683</v>
      </c>
      <c r="B301" s="296" t="s">
        <v>340</v>
      </c>
      <c r="C301" s="80">
        <v>37574</v>
      </c>
      <c r="D301" s="80"/>
      <c r="E301" s="80"/>
      <c r="F301" s="80"/>
      <c r="G301" s="80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128">
        <f t="shared" si="38"/>
        <v>37574</v>
      </c>
      <c r="U301" s="185"/>
      <c r="V301" s="185"/>
      <c r="W301" s="195"/>
      <c r="X301" s="201"/>
    </row>
    <row r="302" spans="1:24" ht="15.75" thickBot="1">
      <c r="A302" s="81" t="s">
        <v>7</v>
      </c>
      <c r="B302" s="43" t="s">
        <v>115</v>
      </c>
      <c r="C302" s="45">
        <f>SUM(C303+C304+C306+C307+C308+C321)</f>
        <v>4952057</v>
      </c>
      <c r="D302" s="45">
        <f>SUM(D303+D304+D306+D307+D308+D321)</f>
        <v>25453</v>
      </c>
      <c r="E302" s="45">
        <f>SUM(E303+E304+E306+E307+E308+E321)</f>
        <v>0</v>
      </c>
      <c r="F302" s="45"/>
      <c r="G302" s="45">
        <f aca="true" t="shared" si="39" ref="G302:Q302">SUM(G303+G304+G306+G307+G308+G321)</f>
        <v>0</v>
      </c>
      <c r="H302" s="45">
        <f t="shared" si="39"/>
        <v>3970</v>
      </c>
      <c r="I302" s="45">
        <f t="shared" si="39"/>
        <v>3291</v>
      </c>
      <c r="J302" s="45">
        <f t="shared" si="39"/>
        <v>3087</v>
      </c>
      <c r="K302" s="45">
        <f t="shared" si="39"/>
        <v>644990</v>
      </c>
      <c r="L302" s="45">
        <f t="shared" si="39"/>
        <v>2936</v>
      </c>
      <c r="M302" s="45">
        <f t="shared" si="39"/>
        <v>2400</v>
      </c>
      <c r="N302" s="45">
        <f t="shared" si="39"/>
        <v>5450</v>
      </c>
      <c r="O302" s="45">
        <f t="shared" si="39"/>
        <v>2440</v>
      </c>
      <c r="P302" s="45">
        <f t="shared" si="39"/>
        <v>901584</v>
      </c>
      <c r="Q302" s="45">
        <f t="shared" si="39"/>
        <v>1203238</v>
      </c>
      <c r="R302" s="45">
        <f>SUM(R303+R304+R305+R306+R307+R308+R321)</f>
        <v>719063</v>
      </c>
      <c r="S302" s="45">
        <f>SUM(S303+S304+S305+S306+S307+S308+S321)</f>
        <v>0</v>
      </c>
      <c r="T302" s="46">
        <f t="shared" si="38"/>
        <v>8469959</v>
      </c>
      <c r="U302" s="185"/>
      <c r="V302" s="185"/>
      <c r="W302" s="201"/>
      <c r="X302" s="201"/>
    </row>
    <row r="303" spans="1:24" ht="29.25">
      <c r="A303" s="289" t="s">
        <v>604</v>
      </c>
      <c r="B303" s="179" t="s">
        <v>605</v>
      </c>
      <c r="C303" s="180"/>
      <c r="D303" s="180"/>
      <c r="E303" s="180"/>
      <c r="F303" s="180"/>
      <c r="G303" s="180"/>
      <c r="H303" s="34"/>
      <c r="I303" s="180"/>
      <c r="J303" s="180"/>
      <c r="K303" s="180"/>
      <c r="L303" s="180"/>
      <c r="M303" s="180"/>
      <c r="N303" s="180"/>
      <c r="O303" s="180"/>
      <c r="P303" s="180"/>
      <c r="Q303" s="180">
        <f>108240+15705</f>
        <v>123945</v>
      </c>
      <c r="R303" s="180"/>
      <c r="S303" s="122"/>
      <c r="T303" s="50">
        <f t="shared" si="38"/>
        <v>123945</v>
      </c>
      <c r="U303" s="185"/>
      <c r="V303" s="185"/>
      <c r="W303" s="195"/>
      <c r="X303" s="201"/>
    </row>
    <row r="304" spans="1:24" ht="16.5" customHeight="1">
      <c r="A304" s="120" t="s">
        <v>419</v>
      </c>
      <c r="B304" s="121" t="s">
        <v>170</v>
      </c>
      <c r="C304" s="122">
        <f>166180-166+100886-196</f>
        <v>266704</v>
      </c>
      <c r="D304" s="88"/>
      <c r="E304" s="88"/>
      <c r="F304" s="122"/>
      <c r="G304" s="122"/>
      <c r="H304" s="88">
        <v>850</v>
      </c>
      <c r="I304" s="88"/>
      <c r="J304" s="88"/>
      <c r="K304" s="88">
        <v>1212</v>
      </c>
      <c r="L304" s="88"/>
      <c r="M304" s="88"/>
      <c r="N304" s="88"/>
      <c r="O304" s="122"/>
      <c r="P304" s="88">
        <v>38930</v>
      </c>
      <c r="Q304" s="122">
        <f>93398+3474</f>
        <v>96872</v>
      </c>
      <c r="R304" s="122">
        <v>63266</v>
      </c>
      <c r="S304" s="93"/>
      <c r="T304" s="128">
        <f t="shared" si="38"/>
        <v>467834</v>
      </c>
      <c r="U304" s="185"/>
      <c r="V304" s="185"/>
      <c r="W304" s="195"/>
      <c r="X304" s="201"/>
    </row>
    <row r="305" spans="1:24" ht="16.5" customHeight="1">
      <c r="A305" s="120"/>
      <c r="B305" s="121" t="s">
        <v>645</v>
      </c>
      <c r="C305" s="122"/>
      <c r="D305" s="122"/>
      <c r="E305" s="122"/>
      <c r="F305" s="122"/>
      <c r="G305" s="122"/>
      <c r="H305" s="88"/>
      <c r="I305" s="88"/>
      <c r="J305" s="88"/>
      <c r="K305" s="88"/>
      <c r="L305" s="181"/>
      <c r="M305" s="181"/>
      <c r="N305" s="122"/>
      <c r="O305" s="122"/>
      <c r="P305" s="122"/>
      <c r="Q305" s="122"/>
      <c r="R305" s="122">
        <v>14040</v>
      </c>
      <c r="S305" s="93"/>
      <c r="T305" s="128">
        <f t="shared" si="38"/>
        <v>14040</v>
      </c>
      <c r="U305" s="185"/>
      <c r="V305" s="185"/>
      <c r="W305" s="195"/>
      <c r="X305" s="201"/>
    </row>
    <row r="306" spans="1:24" ht="15">
      <c r="A306" s="120" t="s">
        <v>420</v>
      </c>
      <c r="B306" s="121" t="s">
        <v>152</v>
      </c>
      <c r="C306" s="122">
        <f>14050+16115</f>
        <v>30165</v>
      </c>
      <c r="D306" s="122"/>
      <c r="E306" s="122"/>
      <c r="F306" s="122"/>
      <c r="G306" s="122"/>
      <c r="H306" s="88">
        <v>2390</v>
      </c>
      <c r="I306" s="88">
        <v>2390</v>
      </c>
      <c r="J306" s="88">
        <v>2390</v>
      </c>
      <c r="K306" s="88">
        <v>2390</v>
      </c>
      <c r="L306" s="181">
        <v>2400</v>
      </c>
      <c r="M306" s="181">
        <v>2400</v>
      </c>
      <c r="N306" s="122">
        <v>2400</v>
      </c>
      <c r="O306" s="122">
        <v>2390</v>
      </c>
      <c r="P306" s="122">
        <f>4138+800</f>
        <v>4938</v>
      </c>
      <c r="Q306" s="122">
        <f>8263+5768</f>
        <v>14031</v>
      </c>
      <c r="R306" s="122">
        <v>4106</v>
      </c>
      <c r="S306" s="93"/>
      <c r="T306" s="128">
        <f t="shared" si="38"/>
        <v>72390</v>
      </c>
      <c r="U306" s="185"/>
      <c r="V306" s="185"/>
      <c r="W306" s="195"/>
      <c r="X306" s="201"/>
    </row>
    <row r="307" spans="1:24" ht="15">
      <c r="A307" s="120" t="s">
        <v>116</v>
      </c>
      <c r="B307" s="121" t="s">
        <v>117</v>
      </c>
      <c r="C307" s="122"/>
      <c r="D307" s="49"/>
      <c r="E307" s="49"/>
      <c r="F307" s="25"/>
      <c r="G307" s="25"/>
      <c r="H307" s="49"/>
      <c r="I307" s="49"/>
      <c r="J307" s="49"/>
      <c r="K307" s="49"/>
      <c r="L307" s="49"/>
      <c r="M307" s="49"/>
      <c r="N307" s="49"/>
      <c r="O307" s="25"/>
      <c r="P307" s="25"/>
      <c r="Q307" s="25"/>
      <c r="R307" s="25"/>
      <c r="S307" s="52"/>
      <c r="T307" s="128">
        <f t="shared" si="38"/>
        <v>0</v>
      </c>
      <c r="U307" s="185"/>
      <c r="V307" s="185"/>
      <c r="W307" s="195"/>
      <c r="X307" s="201"/>
    </row>
    <row r="308" spans="1:24" ht="29.25">
      <c r="A308" s="127" t="s">
        <v>118</v>
      </c>
      <c r="B308" s="90" t="s">
        <v>119</v>
      </c>
      <c r="C308" s="33">
        <f>SUM(C309:C320)</f>
        <v>4655188</v>
      </c>
      <c r="D308" s="33">
        <f>SUM(D309:D320)</f>
        <v>25453</v>
      </c>
      <c r="E308" s="33">
        <f>SUM(E309:E320)</f>
        <v>0</v>
      </c>
      <c r="F308" s="33"/>
      <c r="G308" s="33">
        <f aca="true" t="shared" si="40" ref="G308:S308">SUM(G309:G320)</f>
        <v>0</v>
      </c>
      <c r="H308" s="91">
        <f t="shared" si="40"/>
        <v>730</v>
      </c>
      <c r="I308" s="92">
        <f t="shared" si="40"/>
        <v>901</v>
      </c>
      <c r="J308" s="33">
        <f t="shared" si="40"/>
        <v>697</v>
      </c>
      <c r="K308" s="33">
        <f t="shared" si="40"/>
        <v>641388</v>
      </c>
      <c r="L308" s="33">
        <f t="shared" si="40"/>
        <v>536</v>
      </c>
      <c r="M308" s="33">
        <f t="shared" si="40"/>
        <v>0</v>
      </c>
      <c r="N308" s="33">
        <f t="shared" si="40"/>
        <v>3050</v>
      </c>
      <c r="O308" s="33">
        <f t="shared" si="40"/>
        <v>50</v>
      </c>
      <c r="P308" s="33">
        <f t="shared" si="40"/>
        <v>770399</v>
      </c>
      <c r="Q308" s="33">
        <f t="shared" si="40"/>
        <v>927540</v>
      </c>
      <c r="R308" s="33">
        <f t="shared" si="40"/>
        <v>637651</v>
      </c>
      <c r="S308" s="91">
        <f t="shared" si="40"/>
        <v>0</v>
      </c>
      <c r="T308" s="128">
        <f t="shared" si="38"/>
        <v>7663583</v>
      </c>
      <c r="U308" s="185"/>
      <c r="V308" s="185"/>
      <c r="W308" s="195"/>
      <c r="X308" s="201"/>
    </row>
    <row r="309" spans="1:25" ht="15">
      <c r="A309" s="51" t="s">
        <v>241</v>
      </c>
      <c r="B309" s="24" t="s">
        <v>120</v>
      </c>
      <c r="C309" s="52">
        <f>1018029+6049</f>
        <v>1024078</v>
      </c>
      <c r="D309" s="17">
        <v>25453</v>
      </c>
      <c r="E309" s="17"/>
      <c r="F309" s="52"/>
      <c r="G309" s="52"/>
      <c r="H309" s="219">
        <v>730</v>
      </c>
      <c r="I309" s="17"/>
      <c r="J309" s="17">
        <v>147</v>
      </c>
      <c r="K309" s="17">
        <v>1783</v>
      </c>
      <c r="L309" s="17">
        <v>536</v>
      </c>
      <c r="M309" s="17"/>
      <c r="N309" s="219">
        <v>3050</v>
      </c>
      <c r="O309" s="56">
        <v>50</v>
      </c>
      <c r="P309" s="219">
        <v>340677</v>
      </c>
      <c r="Q309" s="219">
        <f>865436+2749+2632</f>
        <v>870817</v>
      </c>
      <c r="R309" s="56">
        <v>526989</v>
      </c>
      <c r="S309" s="52"/>
      <c r="T309" s="128">
        <f t="shared" si="38"/>
        <v>2794310</v>
      </c>
      <c r="U309" s="185"/>
      <c r="V309" s="185"/>
      <c r="W309" s="195"/>
      <c r="X309" s="201"/>
      <c r="Y309" s="30"/>
    </row>
    <row r="310" spans="1:25" ht="15">
      <c r="A310" s="51" t="s">
        <v>242</v>
      </c>
      <c r="B310" s="24" t="s">
        <v>17</v>
      </c>
      <c r="C310" s="52">
        <f>1319314-9000+115397</f>
        <v>1425711</v>
      </c>
      <c r="D310" s="17"/>
      <c r="E310" s="17"/>
      <c r="F310" s="52"/>
      <c r="G310" s="52"/>
      <c r="H310" s="219"/>
      <c r="I310" s="17">
        <f>2000-1099</f>
        <v>901</v>
      </c>
      <c r="J310" s="17"/>
      <c r="K310" s="17"/>
      <c r="L310" s="233"/>
      <c r="M310" s="17"/>
      <c r="N310" s="219"/>
      <c r="O310" s="56"/>
      <c r="P310" s="219"/>
      <c r="Q310" s="219"/>
      <c r="R310" s="56"/>
      <c r="S310" s="52"/>
      <c r="T310" s="128">
        <f t="shared" si="38"/>
        <v>1426612</v>
      </c>
      <c r="U310" s="185"/>
      <c r="V310" s="185"/>
      <c r="W310" s="195"/>
      <c r="X310" s="201"/>
      <c r="Y310" s="30"/>
    </row>
    <row r="311" spans="1:24" ht="15">
      <c r="A311" s="51" t="s">
        <v>287</v>
      </c>
      <c r="B311" s="24" t="s">
        <v>288</v>
      </c>
      <c r="C311" s="52">
        <f>264647+71675</f>
        <v>336322</v>
      </c>
      <c r="D311" s="17"/>
      <c r="E311" s="17"/>
      <c r="F311" s="52"/>
      <c r="G311" s="52"/>
      <c r="H311" s="17"/>
      <c r="I311" s="17"/>
      <c r="J311" s="17"/>
      <c r="K311" s="17"/>
      <c r="L311" s="17"/>
      <c r="M311" s="17"/>
      <c r="N311" s="17"/>
      <c r="O311" s="52"/>
      <c r="P311" s="52"/>
      <c r="Q311" s="52"/>
      <c r="R311" s="52">
        <v>66991</v>
      </c>
      <c r="S311" s="52"/>
      <c r="T311" s="128">
        <f t="shared" si="38"/>
        <v>403313</v>
      </c>
      <c r="U311" s="185"/>
      <c r="V311" s="185"/>
      <c r="W311" s="195"/>
      <c r="X311" s="201"/>
    </row>
    <row r="312" spans="1:24" ht="15">
      <c r="A312" s="51" t="s">
        <v>243</v>
      </c>
      <c r="B312" s="24" t="s">
        <v>154</v>
      </c>
      <c r="C312" s="52"/>
      <c r="D312" s="17"/>
      <c r="E312" s="17"/>
      <c r="F312" s="52"/>
      <c r="G312" s="52"/>
      <c r="H312" s="17"/>
      <c r="I312" s="17"/>
      <c r="J312" s="17"/>
      <c r="K312" s="17">
        <f>633235+3200</f>
        <v>636435</v>
      </c>
      <c r="L312" s="17"/>
      <c r="M312" s="17"/>
      <c r="N312" s="17"/>
      <c r="O312" s="52"/>
      <c r="P312" s="52"/>
      <c r="Q312" s="52"/>
      <c r="R312" s="52"/>
      <c r="S312" s="52"/>
      <c r="T312" s="128">
        <f t="shared" si="38"/>
        <v>636435</v>
      </c>
      <c r="U312" s="185"/>
      <c r="V312" s="185"/>
      <c r="W312" s="195"/>
      <c r="X312" s="201"/>
    </row>
    <row r="313" spans="1:24" ht="15">
      <c r="A313" s="51" t="s">
        <v>118</v>
      </c>
      <c r="B313" s="24" t="s">
        <v>560</v>
      </c>
      <c r="C313" s="52"/>
      <c r="D313" s="17"/>
      <c r="E313" s="17"/>
      <c r="F313" s="52"/>
      <c r="G313" s="52"/>
      <c r="H313" s="17"/>
      <c r="I313" s="17"/>
      <c r="J313" s="17"/>
      <c r="K313" s="17"/>
      <c r="L313" s="17"/>
      <c r="M313" s="17"/>
      <c r="N313" s="17"/>
      <c r="O313" s="52"/>
      <c r="P313" s="52">
        <v>426351</v>
      </c>
      <c r="Q313" s="52"/>
      <c r="R313" s="52"/>
      <c r="S313" s="52"/>
      <c r="T313" s="128">
        <f t="shared" si="38"/>
        <v>426351</v>
      </c>
      <c r="U313" s="185"/>
      <c r="V313" s="185"/>
      <c r="W313" s="195"/>
      <c r="X313" s="201"/>
    </row>
    <row r="314" spans="1:24" ht="30">
      <c r="A314" s="51" t="s">
        <v>305</v>
      </c>
      <c r="B314" s="5" t="s">
        <v>306</v>
      </c>
      <c r="C314" s="17">
        <f>26350+28157+1180</f>
        <v>55687</v>
      </c>
      <c r="D314" s="17"/>
      <c r="E314" s="17"/>
      <c r="F314" s="52"/>
      <c r="G314" s="52"/>
      <c r="H314" s="17"/>
      <c r="I314" s="17"/>
      <c r="J314" s="17"/>
      <c r="K314" s="17"/>
      <c r="L314" s="17"/>
      <c r="M314" s="17"/>
      <c r="N314" s="17"/>
      <c r="O314" s="52"/>
      <c r="P314" s="52"/>
      <c r="Q314" s="52"/>
      <c r="R314" s="52"/>
      <c r="S314" s="52"/>
      <c r="T314" s="128">
        <f t="shared" si="38"/>
        <v>55687</v>
      </c>
      <c r="U314" s="185"/>
      <c r="V314" s="185"/>
      <c r="W314" s="195"/>
      <c r="X314" s="201"/>
    </row>
    <row r="315" spans="1:24" ht="31.5">
      <c r="A315" s="11" t="s">
        <v>379</v>
      </c>
      <c r="B315" s="16" t="s">
        <v>380</v>
      </c>
      <c r="C315" s="52">
        <f>15000+3150+2000</f>
        <v>20150</v>
      </c>
      <c r="D315" s="17"/>
      <c r="E315" s="17"/>
      <c r="F315" s="52"/>
      <c r="G315" s="52"/>
      <c r="H315" s="17"/>
      <c r="I315" s="17"/>
      <c r="J315" s="17"/>
      <c r="K315" s="52"/>
      <c r="L315" s="52"/>
      <c r="M315" s="52"/>
      <c r="N315" s="52"/>
      <c r="O315" s="52"/>
      <c r="P315" s="52"/>
      <c r="Q315" s="52"/>
      <c r="R315" s="52"/>
      <c r="S315" s="52"/>
      <c r="T315" s="128">
        <f t="shared" si="38"/>
        <v>20150</v>
      </c>
      <c r="U315" s="185"/>
      <c r="V315" s="185"/>
      <c r="W315" s="195"/>
      <c r="X315" s="201"/>
    </row>
    <row r="316" spans="1:24" ht="15">
      <c r="A316" s="51" t="s">
        <v>244</v>
      </c>
      <c r="B316" s="24" t="s">
        <v>153</v>
      </c>
      <c r="C316" s="131">
        <v>45241</v>
      </c>
      <c r="D316" s="17"/>
      <c r="E316" s="17"/>
      <c r="F316" s="52"/>
      <c r="G316" s="52"/>
      <c r="H316" s="17"/>
      <c r="I316" s="17"/>
      <c r="J316" s="17">
        <v>550</v>
      </c>
      <c r="K316" s="52">
        <v>3170</v>
      </c>
      <c r="L316" s="52"/>
      <c r="M316" s="52"/>
      <c r="N316" s="52"/>
      <c r="O316" s="52"/>
      <c r="P316" s="52"/>
      <c r="Q316" s="52"/>
      <c r="R316" s="52"/>
      <c r="S316" s="52"/>
      <c r="T316" s="128">
        <f t="shared" si="38"/>
        <v>48961</v>
      </c>
      <c r="U316" s="185"/>
      <c r="V316" s="185"/>
      <c r="W316" s="195"/>
      <c r="X316" s="201"/>
    </row>
    <row r="317" spans="1:24" ht="30">
      <c r="A317" s="11" t="s">
        <v>385</v>
      </c>
      <c r="B317" s="28" t="s">
        <v>384</v>
      </c>
      <c r="C317" s="52">
        <f>19128+13721</f>
        <v>32849</v>
      </c>
      <c r="D317" s="17"/>
      <c r="E317" s="17"/>
      <c r="F317" s="52"/>
      <c r="G317" s="52"/>
      <c r="H317" s="17"/>
      <c r="I317" s="17"/>
      <c r="J317" s="17"/>
      <c r="K317" s="52"/>
      <c r="L317" s="52"/>
      <c r="M317" s="52"/>
      <c r="N317" s="52"/>
      <c r="O317" s="52"/>
      <c r="P317" s="52"/>
      <c r="Q317" s="52"/>
      <c r="R317" s="52"/>
      <c r="S317" s="52"/>
      <c r="T317" s="128">
        <f t="shared" si="38"/>
        <v>32849</v>
      </c>
      <c r="U317" s="185"/>
      <c r="V317" s="185"/>
      <c r="W317" s="195"/>
      <c r="X317" s="201"/>
    </row>
    <row r="318" spans="1:24" ht="45">
      <c r="A318" s="51" t="s">
        <v>278</v>
      </c>
      <c r="B318" s="150" t="s">
        <v>421</v>
      </c>
      <c r="C318" s="52">
        <f>53800+50500+2913</f>
        <v>107213</v>
      </c>
      <c r="D318" s="17"/>
      <c r="E318" s="17"/>
      <c r="F318" s="52"/>
      <c r="G318" s="52"/>
      <c r="H318" s="17"/>
      <c r="I318" s="17"/>
      <c r="J318" s="17"/>
      <c r="K318" s="52"/>
      <c r="L318" s="52"/>
      <c r="M318" s="52"/>
      <c r="N318" s="52"/>
      <c r="O318" s="52"/>
      <c r="P318" s="52">
        <v>3371</v>
      </c>
      <c r="Q318" s="52">
        <v>19871</v>
      </c>
      <c r="R318" s="52">
        <v>43671</v>
      </c>
      <c r="S318" s="52"/>
      <c r="T318" s="128">
        <f t="shared" si="38"/>
        <v>174126</v>
      </c>
      <c r="U318" s="185"/>
      <c r="V318" s="185"/>
      <c r="W318" s="195"/>
      <c r="X318" s="201"/>
    </row>
    <row r="319" spans="1:24" ht="30">
      <c r="A319" s="12" t="s">
        <v>336</v>
      </c>
      <c r="B319" s="218" t="s">
        <v>337</v>
      </c>
      <c r="C319" s="17">
        <v>1607937</v>
      </c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52"/>
      <c r="P319" s="17"/>
      <c r="Q319" s="52"/>
      <c r="R319" s="52"/>
      <c r="S319" s="52"/>
      <c r="T319" s="128">
        <f t="shared" si="38"/>
        <v>1607937</v>
      </c>
      <c r="U319" s="185"/>
      <c r="V319" s="185"/>
      <c r="W319" s="195"/>
      <c r="X319" s="201"/>
    </row>
    <row r="320" spans="1:24" ht="15">
      <c r="A320" s="279" t="s">
        <v>118</v>
      </c>
      <c r="B320" s="4" t="s">
        <v>606</v>
      </c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>
        <f>55422-18570</f>
        <v>36852</v>
      </c>
      <c r="R320" s="52"/>
      <c r="S320" s="52"/>
      <c r="T320" s="128">
        <f t="shared" si="38"/>
        <v>36852</v>
      </c>
      <c r="U320" s="185"/>
      <c r="V320" s="185"/>
      <c r="W320" s="195"/>
      <c r="X320" s="201"/>
    </row>
    <row r="321" spans="1:24" ht="19.5" customHeight="1">
      <c r="A321" s="290" t="s">
        <v>561</v>
      </c>
      <c r="B321" s="245" t="s">
        <v>562</v>
      </c>
      <c r="C321" s="52"/>
      <c r="D321" s="52"/>
      <c r="E321" s="52"/>
      <c r="F321" s="52"/>
      <c r="G321" s="52">
        <f aca="true" t="shared" si="41" ref="G321:O321">SUM(G324:G325)</f>
        <v>0</v>
      </c>
      <c r="H321" s="52">
        <f t="shared" si="41"/>
        <v>0</v>
      </c>
      <c r="I321" s="52">
        <f t="shared" si="41"/>
        <v>0</v>
      </c>
      <c r="J321" s="52">
        <f t="shared" si="41"/>
        <v>0</v>
      </c>
      <c r="K321" s="52">
        <f t="shared" si="41"/>
        <v>0</v>
      </c>
      <c r="L321" s="52">
        <f t="shared" si="41"/>
        <v>0</v>
      </c>
      <c r="M321" s="52">
        <f t="shared" si="41"/>
        <v>0</v>
      </c>
      <c r="N321" s="52">
        <f t="shared" si="41"/>
        <v>0</v>
      </c>
      <c r="O321" s="52">
        <f t="shared" si="41"/>
        <v>0</v>
      </c>
      <c r="P321" s="52">
        <f>SUM(P322:P325)</f>
        <v>87317</v>
      </c>
      <c r="Q321" s="52">
        <f>SUM(Q322:Q325)</f>
        <v>40850</v>
      </c>
      <c r="R321" s="52">
        <f>SUM(R322:R325)</f>
        <v>0</v>
      </c>
      <c r="S321" s="52"/>
      <c r="T321" s="128">
        <f t="shared" si="38"/>
        <v>128167</v>
      </c>
      <c r="U321" s="185"/>
      <c r="V321" s="185"/>
      <c r="W321" s="195"/>
      <c r="X321" s="201"/>
    </row>
    <row r="322" spans="1:24" ht="30">
      <c r="A322" s="272" t="s">
        <v>649</v>
      </c>
      <c r="B322" s="150" t="s">
        <v>607</v>
      </c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>
        <v>5850</v>
      </c>
      <c r="R322" s="52"/>
      <c r="S322" s="52"/>
      <c r="T322" s="128">
        <f t="shared" si="38"/>
        <v>5850</v>
      </c>
      <c r="U322" s="185"/>
      <c r="V322" s="185"/>
      <c r="W322" s="195"/>
      <c r="X322" s="201"/>
    </row>
    <row r="323" spans="1:24" ht="19.5" customHeight="1">
      <c r="A323" s="272" t="s">
        <v>649</v>
      </c>
      <c r="B323" s="150" t="s">
        <v>608</v>
      </c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>
        <v>35000</v>
      </c>
      <c r="R323" s="52"/>
      <c r="S323" s="52"/>
      <c r="T323" s="128">
        <f t="shared" si="38"/>
        <v>35000</v>
      </c>
      <c r="U323" s="185"/>
      <c r="V323" s="185"/>
      <c r="W323" s="195"/>
      <c r="X323" s="201"/>
    </row>
    <row r="324" spans="1:24" ht="15">
      <c r="A324" s="272" t="s">
        <v>561</v>
      </c>
      <c r="B324" s="243" t="s">
        <v>563</v>
      </c>
      <c r="C324" s="52"/>
      <c r="D324" s="52"/>
      <c r="E324" s="52"/>
      <c r="F324" s="52"/>
      <c r="G324" s="17"/>
      <c r="H324" s="17"/>
      <c r="I324" s="17"/>
      <c r="J324" s="17"/>
      <c r="K324" s="52"/>
      <c r="L324" s="52"/>
      <c r="M324" s="52"/>
      <c r="N324" s="52"/>
      <c r="O324" s="52"/>
      <c r="P324" s="52">
        <v>25317</v>
      </c>
      <c r="Q324" s="52"/>
      <c r="R324" s="52"/>
      <c r="S324" s="52"/>
      <c r="T324" s="128">
        <f t="shared" si="38"/>
        <v>25317</v>
      </c>
      <c r="U324" s="185"/>
      <c r="V324" s="185"/>
      <c r="W324" s="195"/>
      <c r="X324" s="201"/>
    </row>
    <row r="325" spans="1:24" ht="15.75" thickBot="1">
      <c r="A325" s="280" t="s">
        <v>561</v>
      </c>
      <c r="B325" s="243" t="s">
        <v>564</v>
      </c>
      <c r="C325" s="80"/>
      <c r="D325" s="80"/>
      <c r="E325" s="80"/>
      <c r="F325" s="80"/>
      <c r="G325" s="79"/>
      <c r="H325" s="79"/>
      <c r="I325" s="79"/>
      <c r="J325" s="79"/>
      <c r="K325" s="80"/>
      <c r="L325" s="80"/>
      <c r="M325" s="80"/>
      <c r="N325" s="80"/>
      <c r="O325" s="80"/>
      <c r="P325" s="244">
        <v>62000</v>
      </c>
      <c r="Q325" s="80"/>
      <c r="R325" s="239"/>
      <c r="S325" s="187"/>
      <c r="T325" s="138">
        <f t="shared" si="38"/>
        <v>62000</v>
      </c>
      <c r="U325" s="185"/>
      <c r="V325" s="185"/>
      <c r="W325" s="195"/>
      <c r="X325" s="201"/>
    </row>
    <row r="326" spans="1:24" ht="15.75" thickBot="1">
      <c r="A326" s="182"/>
      <c r="B326" s="43" t="s">
        <v>19</v>
      </c>
      <c r="C326" s="45">
        <f aca="true" t="shared" si="42" ref="C326:S326">C7+C20+C27+C84+C99+C139+C147+C186+C302</f>
        <v>63508539</v>
      </c>
      <c r="D326" s="45">
        <f t="shared" si="42"/>
        <v>3649161</v>
      </c>
      <c r="E326" s="45">
        <f t="shared" si="42"/>
        <v>850604</v>
      </c>
      <c r="F326" s="45">
        <f t="shared" si="42"/>
        <v>539668</v>
      </c>
      <c r="G326" s="44">
        <f t="shared" si="42"/>
        <v>397342</v>
      </c>
      <c r="H326" s="44">
        <f t="shared" si="42"/>
        <v>1983751</v>
      </c>
      <c r="I326" s="44">
        <f t="shared" si="42"/>
        <v>443373</v>
      </c>
      <c r="J326" s="44">
        <f t="shared" si="42"/>
        <v>1039086</v>
      </c>
      <c r="K326" s="45">
        <f t="shared" si="42"/>
        <v>3266109</v>
      </c>
      <c r="L326" s="45">
        <f t="shared" si="42"/>
        <v>386808</v>
      </c>
      <c r="M326" s="45">
        <f t="shared" si="42"/>
        <v>385340</v>
      </c>
      <c r="N326" s="45">
        <f t="shared" si="42"/>
        <v>354935</v>
      </c>
      <c r="O326" s="45">
        <f t="shared" si="42"/>
        <v>1068745</v>
      </c>
      <c r="P326" s="45">
        <f t="shared" si="42"/>
        <v>7612440</v>
      </c>
      <c r="Q326" s="45">
        <f t="shared" si="42"/>
        <v>18160315</v>
      </c>
      <c r="R326" s="44">
        <f t="shared" si="42"/>
        <v>14885724</v>
      </c>
      <c r="S326" s="44">
        <f t="shared" si="42"/>
        <v>327822</v>
      </c>
      <c r="T326" s="46">
        <f>SUM(C326:S326)</f>
        <v>118859762</v>
      </c>
      <c r="U326" s="185"/>
      <c r="V326" s="185"/>
      <c r="W326" s="201"/>
      <c r="X326" s="201"/>
    </row>
    <row r="327" spans="1:24" ht="15">
      <c r="A327" s="183" t="s">
        <v>650</v>
      </c>
      <c r="B327" s="78" t="s">
        <v>651</v>
      </c>
      <c r="C327" s="184">
        <f>3066633+850197+329094+256265+311186+513393+487213</f>
        <v>5813981</v>
      </c>
      <c r="D327" s="184"/>
      <c r="E327" s="184"/>
      <c r="F327" s="184"/>
      <c r="G327" s="185"/>
      <c r="H327" s="185"/>
      <c r="I327" s="184"/>
      <c r="J327" s="184"/>
      <c r="K327" s="184"/>
      <c r="L327" s="184"/>
      <c r="M327" s="184"/>
      <c r="N327" s="184"/>
      <c r="O327" s="184"/>
      <c r="P327" s="184">
        <v>697721</v>
      </c>
      <c r="Q327" s="184">
        <v>897664</v>
      </c>
      <c r="R327" s="184">
        <v>305757</v>
      </c>
      <c r="S327" s="184"/>
      <c r="T327" s="185">
        <f>SUM(C327:S327)</f>
        <v>7715123</v>
      </c>
      <c r="U327" s="185"/>
      <c r="V327" s="185"/>
      <c r="W327" s="195"/>
      <c r="X327" s="201"/>
    </row>
    <row r="328" spans="1:22" ht="29.25">
      <c r="A328" s="183" t="s">
        <v>609</v>
      </c>
      <c r="B328" s="186" t="s">
        <v>635</v>
      </c>
      <c r="C328" s="184"/>
      <c r="D328" s="184"/>
      <c r="E328" s="184"/>
      <c r="F328" s="184"/>
      <c r="G328" s="185"/>
      <c r="H328" s="184"/>
      <c r="I328" s="184"/>
      <c r="J328" s="184"/>
      <c r="K328" s="184"/>
      <c r="L328" s="184"/>
      <c r="M328" s="184"/>
      <c r="N328" s="184"/>
      <c r="O328" s="184"/>
      <c r="P328" s="184"/>
      <c r="Q328" s="30">
        <f>2309557</f>
        <v>2309557</v>
      </c>
      <c r="R328" s="184"/>
      <c r="S328" s="184"/>
      <c r="T328" s="185">
        <f>SUM(C328:S328)</f>
        <v>2309557</v>
      </c>
      <c r="U328" s="185"/>
      <c r="V328" s="185"/>
    </row>
    <row r="329" spans="1:22" ht="29.25">
      <c r="A329" s="183" t="s">
        <v>609</v>
      </c>
      <c r="B329" s="186" t="s">
        <v>634</v>
      </c>
      <c r="C329" s="30"/>
      <c r="D329" s="30"/>
      <c r="E329" s="30"/>
      <c r="F329" s="30"/>
      <c r="G329" s="187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>
        <v>65000</v>
      </c>
      <c r="S329" s="30"/>
      <c r="T329" s="185">
        <f>SUM(C329:S329)</f>
        <v>65000</v>
      </c>
      <c r="U329" s="185"/>
      <c r="V329" s="185"/>
    </row>
    <row r="330" spans="1:24" ht="30">
      <c r="A330" s="188" t="s">
        <v>265</v>
      </c>
      <c r="B330" s="189" t="s">
        <v>279</v>
      </c>
      <c r="C330" s="30">
        <f>800000-218000-123327+50000-20000-129238</f>
        <v>359435</v>
      </c>
      <c r="D330" s="30">
        <f>1667281-318389-19883</f>
        <v>1329009</v>
      </c>
      <c r="E330" s="30"/>
      <c r="F330" s="30"/>
      <c r="G330" s="187">
        <v>61724</v>
      </c>
      <c r="H330" s="30">
        <f>52382-18512-16673-11444</f>
        <v>5753</v>
      </c>
      <c r="I330" s="30">
        <v>19204</v>
      </c>
      <c r="J330" s="30"/>
      <c r="K330" s="30">
        <v>18110</v>
      </c>
      <c r="L330" s="30"/>
      <c r="M330" s="30">
        <f>12954-58-6482</f>
        <v>6414</v>
      </c>
      <c r="N330" s="30">
        <f>28468-5400-4720-5522</f>
        <v>12826</v>
      </c>
      <c r="O330" s="30">
        <f>30576-14400</f>
        <v>16176</v>
      </c>
      <c r="P330" s="30">
        <f>87072-14264</f>
        <v>72808</v>
      </c>
      <c r="Q330" s="30">
        <f>150000+31549</f>
        <v>181549</v>
      </c>
      <c r="R330" s="30"/>
      <c r="S330" s="30"/>
      <c r="T330" s="185">
        <f>SUM(C330:R330)</f>
        <v>2083008</v>
      </c>
      <c r="U330" s="185"/>
      <c r="V330" s="185"/>
      <c r="X330" s="30"/>
    </row>
    <row r="331" spans="1:22" ht="30">
      <c r="A331" s="29" t="s">
        <v>245</v>
      </c>
      <c r="B331" s="190" t="s">
        <v>246</v>
      </c>
      <c r="C331" s="185">
        <v>24505839</v>
      </c>
      <c r="D331" s="185">
        <v>-837623</v>
      </c>
      <c r="E331" s="185">
        <v>-574194</v>
      </c>
      <c r="F331" s="185">
        <v>-509157</v>
      </c>
      <c r="G331" s="185">
        <v>-87615</v>
      </c>
      <c r="H331" s="185">
        <v>-1520059</v>
      </c>
      <c r="I331" s="185">
        <v>-255926</v>
      </c>
      <c r="J331" s="185">
        <v>-696255</v>
      </c>
      <c r="K331" s="185">
        <v>-1761351</v>
      </c>
      <c r="L331" s="185">
        <v>-213682</v>
      </c>
      <c r="M331" s="185">
        <v>-227718</v>
      </c>
      <c r="N331" s="185">
        <v>-245246</v>
      </c>
      <c r="O331" s="185">
        <v>-899682</v>
      </c>
      <c r="P331" s="185">
        <v>-2212473</v>
      </c>
      <c r="Q331" s="185">
        <v>-9303449</v>
      </c>
      <c r="R331" s="185">
        <v>-5011409</v>
      </c>
      <c r="S331" s="185">
        <v>-150000</v>
      </c>
      <c r="T331" s="185">
        <v>0</v>
      </c>
      <c r="U331" s="185"/>
      <c r="V331" s="185"/>
    </row>
    <row r="332" spans="1:22" ht="15">
      <c r="A332" s="30"/>
      <c r="B332" s="191"/>
      <c r="C332" s="185"/>
      <c r="D332" s="185"/>
      <c r="E332" s="185"/>
      <c r="F332" s="185"/>
      <c r="G332" s="185"/>
      <c r="H332" s="185"/>
      <c r="I332" s="192"/>
      <c r="J332" s="185"/>
      <c r="K332" s="192"/>
      <c r="L332" s="185"/>
      <c r="M332" s="185"/>
      <c r="N332" s="185"/>
      <c r="O332" s="185"/>
      <c r="P332" s="185"/>
      <c r="Q332" s="185"/>
      <c r="R332" s="185"/>
      <c r="S332" s="185"/>
      <c r="T332" s="185"/>
      <c r="U332" s="185"/>
      <c r="V332" s="185"/>
    </row>
    <row r="333" spans="1:22" ht="15">
      <c r="A333" s="30"/>
      <c r="B333" s="193" t="s">
        <v>263</v>
      </c>
      <c r="C333" s="30"/>
      <c r="D333" s="30" t="s">
        <v>20</v>
      </c>
      <c r="E333" s="30"/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194" t="s">
        <v>308</v>
      </c>
      <c r="U333" s="194"/>
      <c r="V333" s="194"/>
    </row>
    <row r="334" spans="1:24" ht="15">
      <c r="A334" s="187"/>
      <c r="B334" s="78"/>
      <c r="C334" s="185"/>
      <c r="D334" s="185"/>
      <c r="E334" s="185"/>
      <c r="F334" s="185"/>
      <c r="G334" s="185"/>
      <c r="H334" s="210"/>
      <c r="I334" s="187"/>
      <c r="J334" s="30"/>
      <c r="K334" s="187"/>
      <c r="L334" s="187"/>
      <c r="M334" s="187"/>
      <c r="N334" s="30"/>
      <c r="O334" s="30"/>
      <c r="P334" s="30"/>
      <c r="Q334" s="30"/>
      <c r="R334" s="187"/>
      <c r="S334" s="187"/>
      <c r="T334" s="187"/>
      <c r="U334" s="187"/>
      <c r="V334" s="187"/>
      <c r="W334" s="200"/>
      <c r="X334" s="200"/>
    </row>
    <row r="335" spans="1:24" ht="15">
      <c r="A335" s="187"/>
      <c r="B335" s="78"/>
      <c r="C335" s="185"/>
      <c r="D335" s="185"/>
      <c r="E335" s="185"/>
      <c r="F335" s="185"/>
      <c r="G335" s="185"/>
      <c r="H335" s="210"/>
      <c r="I335" s="187"/>
      <c r="J335" s="30"/>
      <c r="K335" s="187"/>
      <c r="L335" s="187"/>
      <c r="M335" s="187"/>
      <c r="N335" s="30"/>
      <c r="O335" s="30"/>
      <c r="P335" s="30"/>
      <c r="Q335" s="30"/>
      <c r="R335" s="187"/>
      <c r="S335" s="187"/>
      <c r="T335" s="187"/>
      <c r="U335" s="187"/>
      <c r="V335" s="187"/>
      <c r="W335" s="200"/>
      <c r="X335" s="200"/>
    </row>
    <row r="336" spans="1:24" ht="15">
      <c r="A336" s="187"/>
      <c r="B336" s="78"/>
      <c r="C336" s="185"/>
      <c r="D336" s="185"/>
      <c r="E336" s="185"/>
      <c r="F336" s="185"/>
      <c r="G336" s="185"/>
      <c r="H336" s="210"/>
      <c r="I336" s="187"/>
      <c r="J336" s="30"/>
      <c r="K336" s="187"/>
      <c r="L336" s="187"/>
      <c r="M336" s="187"/>
      <c r="N336" s="30"/>
      <c r="O336" s="30"/>
      <c r="P336" s="30"/>
      <c r="Q336" s="30"/>
      <c r="R336" s="187"/>
      <c r="S336" s="187"/>
      <c r="T336" s="187"/>
      <c r="U336" s="187"/>
      <c r="V336" s="187"/>
      <c r="W336" s="200"/>
      <c r="X336" s="200"/>
    </row>
    <row r="337" spans="1:22" ht="15">
      <c r="A337" s="30"/>
      <c r="C337" s="30"/>
      <c r="D337" s="30"/>
      <c r="E337" s="30"/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184"/>
      <c r="U337" s="184"/>
      <c r="V337" s="184"/>
    </row>
    <row r="338" spans="1:22" ht="44.25" customHeight="1" thickBot="1">
      <c r="A338" s="300" t="s">
        <v>525</v>
      </c>
      <c r="B338" s="300"/>
      <c r="C338" s="300"/>
      <c r="D338" s="300"/>
      <c r="E338" s="30"/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184"/>
      <c r="U338" s="184"/>
      <c r="V338" s="184"/>
    </row>
    <row r="339" spans="1:24" ht="135.75" thickBot="1">
      <c r="A339" s="113" t="s">
        <v>9</v>
      </c>
      <c r="B339" s="114" t="s">
        <v>128</v>
      </c>
      <c r="C339" s="40" t="s">
        <v>475</v>
      </c>
      <c r="D339" s="115" t="s">
        <v>476</v>
      </c>
      <c r="E339" s="39" t="s">
        <v>674</v>
      </c>
      <c r="F339" s="39" t="s">
        <v>675</v>
      </c>
      <c r="G339" s="40" t="s">
        <v>477</v>
      </c>
      <c r="H339" s="116" t="s">
        <v>478</v>
      </c>
      <c r="I339" s="116" t="s">
        <v>479</v>
      </c>
      <c r="J339" s="116" t="s">
        <v>480</v>
      </c>
      <c r="K339" s="116" t="s">
        <v>481</v>
      </c>
      <c r="L339" s="116" t="s">
        <v>482</v>
      </c>
      <c r="M339" s="116" t="s">
        <v>483</v>
      </c>
      <c r="N339" s="116" t="s">
        <v>484</v>
      </c>
      <c r="O339" s="117" t="s">
        <v>485</v>
      </c>
      <c r="P339" s="223" t="s">
        <v>657</v>
      </c>
      <c r="Q339" s="223" t="s">
        <v>658</v>
      </c>
      <c r="R339" s="23" t="s">
        <v>611</v>
      </c>
      <c r="S339" s="266" t="s">
        <v>636</v>
      </c>
      <c r="T339" s="118" t="s">
        <v>486</v>
      </c>
      <c r="U339" s="7"/>
      <c r="V339" s="7"/>
      <c r="W339" s="7"/>
      <c r="X339" s="7"/>
    </row>
    <row r="340" spans="1:22" ht="15">
      <c r="A340" s="211">
        <v>1100</v>
      </c>
      <c r="B340" s="83" t="s">
        <v>169</v>
      </c>
      <c r="C340" s="26">
        <f>12311754+409816+1150166+14062+1782532+222359+420+138-1-135</f>
        <v>15891111</v>
      </c>
      <c r="D340" s="236">
        <v>976018</v>
      </c>
      <c r="E340" s="26">
        <v>435695</v>
      </c>
      <c r="F340" s="26">
        <v>203825</v>
      </c>
      <c r="G340" s="26">
        <v>70204</v>
      </c>
      <c r="H340" s="291">
        <f>1040824+7730+4577</f>
        <v>1053131</v>
      </c>
      <c r="I340" s="26">
        <v>124646</v>
      </c>
      <c r="J340" s="26">
        <v>504696</v>
      </c>
      <c r="K340" s="26">
        <f>1557778+2510</f>
        <v>1560288</v>
      </c>
      <c r="L340" s="26">
        <v>127381</v>
      </c>
      <c r="M340" s="26">
        <v>152562</v>
      </c>
      <c r="N340" s="26">
        <v>131557</v>
      </c>
      <c r="O340" s="295">
        <f>633161+1360</f>
        <v>634521</v>
      </c>
      <c r="P340" s="26">
        <v>3168599</v>
      </c>
      <c r="Q340" s="275">
        <v>6263407</v>
      </c>
      <c r="R340" s="261">
        <v>6232554</v>
      </c>
      <c r="S340" s="255">
        <v>84531</v>
      </c>
      <c r="T340" s="155">
        <f>SUM(C340:S340)</f>
        <v>37614726</v>
      </c>
      <c r="U340" s="185"/>
      <c r="V340" s="185"/>
    </row>
    <row r="341" spans="1:22" ht="45">
      <c r="A341" s="89">
        <v>1200</v>
      </c>
      <c r="B341" s="24" t="s">
        <v>247</v>
      </c>
      <c r="C341" s="17">
        <f>3566909+96680+277429+3317+422537+54609-420+23+1-32</f>
        <v>4421053</v>
      </c>
      <c r="D341" s="237">
        <v>235244</v>
      </c>
      <c r="E341" s="17">
        <v>121693</v>
      </c>
      <c r="F341" s="17">
        <v>61734</v>
      </c>
      <c r="G341" s="17">
        <v>20766</v>
      </c>
      <c r="H341" s="95">
        <f>299093+1824+9608</f>
        <v>310525</v>
      </c>
      <c r="I341" s="17">
        <v>42403</v>
      </c>
      <c r="J341" s="17">
        <v>147248</v>
      </c>
      <c r="K341" s="17">
        <f>449359+592</f>
        <v>449951</v>
      </c>
      <c r="L341" s="17">
        <v>38008</v>
      </c>
      <c r="M341" s="17">
        <v>44583</v>
      </c>
      <c r="N341" s="17">
        <f>40487+50</f>
        <v>40537</v>
      </c>
      <c r="O341" s="56">
        <f>179127+321</f>
        <v>179448</v>
      </c>
      <c r="P341" s="17">
        <v>862519</v>
      </c>
      <c r="Q341" s="275">
        <v>1811895</v>
      </c>
      <c r="R341" s="17">
        <v>1790678</v>
      </c>
      <c r="S341" s="58">
        <v>24273</v>
      </c>
      <c r="T341" s="128">
        <f>SUM(C341:S341)</f>
        <v>10602558</v>
      </c>
      <c r="U341" s="185"/>
      <c r="V341" s="185"/>
    </row>
    <row r="342" spans="1:22" ht="15">
      <c r="A342" s="89">
        <v>2000</v>
      </c>
      <c r="B342" s="24" t="s">
        <v>155</v>
      </c>
      <c r="C342" s="17">
        <f aca="true" t="shared" si="43" ref="C342:R342">SUM(C343:C347)</f>
        <v>7201655</v>
      </c>
      <c r="D342" s="17">
        <f t="shared" si="43"/>
        <v>1561137</v>
      </c>
      <c r="E342" s="17">
        <f t="shared" si="43"/>
        <v>248423</v>
      </c>
      <c r="F342" s="17">
        <f t="shared" si="43"/>
        <v>190399</v>
      </c>
      <c r="G342" s="17">
        <f t="shared" si="43"/>
        <v>275675</v>
      </c>
      <c r="H342" s="54">
        <f t="shared" si="43"/>
        <v>547768</v>
      </c>
      <c r="I342" s="17">
        <f t="shared" si="43"/>
        <v>263994</v>
      </c>
      <c r="J342" s="17">
        <f t="shared" si="43"/>
        <v>367687</v>
      </c>
      <c r="K342" s="17">
        <f t="shared" si="43"/>
        <v>921969</v>
      </c>
      <c r="L342" s="17">
        <f t="shared" si="43"/>
        <v>210302</v>
      </c>
      <c r="M342" s="17">
        <f t="shared" si="43"/>
        <v>113315</v>
      </c>
      <c r="N342" s="17">
        <f t="shared" si="43"/>
        <v>156143</v>
      </c>
      <c r="O342" s="17">
        <f t="shared" si="43"/>
        <v>200742</v>
      </c>
      <c r="P342" s="17">
        <f t="shared" si="43"/>
        <v>2150780</v>
      </c>
      <c r="Q342" s="17">
        <f t="shared" si="43"/>
        <v>3128696</v>
      </c>
      <c r="R342" s="17">
        <f t="shared" si="43"/>
        <v>2860632</v>
      </c>
      <c r="S342" s="58">
        <v>97499</v>
      </c>
      <c r="T342" s="128">
        <f>SUM(C342:S342)</f>
        <v>20496816</v>
      </c>
      <c r="U342" s="185"/>
      <c r="V342" s="185"/>
    </row>
    <row r="343" spans="1:22" ht="30">
      <c r="A343" s="89">
        <v>2100</v>
      </c>
      <c r="B343" s="24" t="s">
        <v>276</v>
      </c>
      <c r="C343" s="17">
        <f>164403-8000-4133-9067-549</f>
        <v>142654</v>
      </c>
      <c r="D343" s="17"/>
      <c r="E343" s="17">
        <v>6243</v>
      </c>
      <c r="F343" s="17"/>
      <c r="G343" s="17"/>
      <c r="H343" s="54">
        <v>680</v>
      </c>
      <c r="I343" s="17"/>
      <c r="J343" s="17"/>
      <c r="K343" s="17">
        <v>14200</v>
      </c>
      <c r="L343" s="17"/>
      <c r="M343" s="17">
        <v>30</v>
      </c>
      <c r="N343" s="6">
        <v>600</v>
      </c>
      <c r="O343" s="56">
        <v>250</v>
      </c>
      <c r="P343" s="6">
        <v>2088</v>
      </c>
      <c r="Q343" s="17">
        <v>82643</v>
      </c>
      <c r="R343" s="17">
        <v>34450</v>
      </c>
      <c r="S343" s="58">
        <v>249</v>
      </c>
      <c r="T343" s="128">
        <f>SUM(C343:S343)</f>
        <v>284087</v>
      </c>
      <c r="U343" s="185"/>
      <c r="V343" s="185"/>
    </row>
    <row r="344" spans="1:22" ht="15">
      <c r="A344" s="89">
        <v>2200</v>
      </c>
      <c r="B344" s="24" t="s">
        <v>156</v>
      </c>
      <c r="C344" s="17">
        <f>5961426-6000-620604+11000+20000+32227+213461-3627-258539-3060+9600-138+2263+8686+28836-23+1000+549+2985-53</f>
        <v>5399989</v>
      </c>
      <c r="D344" s="17">
        <v>1067206</v>
      </c>
      <c r="E344" s="17">
        <v>203981</v>
      </c>
      <c r="F344" s="17">
        <v>151606</v>
      </c>
      <c r="G344" s="17">
        <v>255423</v>
      </c>
      <c r="H344" s="54">
        <f>289551+15000</f>
        <v>304551</v>
      </c>
      <c r="I344" s="6">
        <v>220829</v>
      </c>
      <c r="J344" s="17">
        <v>257771</v>
      </c>
      <c r="K344" s="6">
        <v>599927</v>
      </c>
      <c r="L344" s="17">
        <f>151563-46-1367+3330</f>
        <v>153480</v>
      </c>
      <c r="M344" s="17">
        <v>84208</v>
      </c>
      <c r="N344" s="6">
        <v>122278</v>
      </c>
      <c r="O344" s="56">
        <v>90959</v>
      </c>
      <c r="P344" s="6">
        <f>1498504-25000</f>
        <v>1473504</v>
      </c>
      <c r="Q344" s="275">
        <v>2031398</v>
      </c>
      <c r="R344" s="17">
        <f>2135792-9886</f>
        <v>2125906</v>
      </c>
      <c r="S344" s="58">
        <v>81502</v>
      </c>
      <c r="T344" s="128">
        <f aca="true" t="shared" si="44" ref="T344:T360">SUM(C344:S344)</f>
        <v>14624518</v>
      </c>
      <c r="U344" s="185"/>
      <c r="V344" s="185"/>
    </row>
    <row r="345" spans="1:22" ht="30">
      <c r="A345" s="89">
        <v>2300</v>
      </c>
      <c r="B345" s="24" t="s">
        <v>157</v>
      </c>
      <c r="C345" s="17">
        <f>1217460+134590+29000+137597-24950+51007+225+5780-2263+5178-225-1394+53</f>
        <v>1552058</v>
      </c>
      <c r="D345" s="17">
        <v>205979</v>
      </c>
      <c r="E345" s="17">
        <v>36999</v>
      </c>
      <c r="F345" s="17">
        <v>36493</v>
      </c>
      <c r="G345" s="17">
        <v>9792</v>
      </c>
      <c r="H345" s="54">
        <f>239489+848</f>
        <v>240337</v>
      </c>
      <c r="I345" s="17">
        <v>37824</v>
      </c>
      <c r="J345" s="17">
        <v>104884</v>
      </c>
      <c r="K345" s="17">
        <v>294047</v>
      </c>
      <c r="L345" s="17">
        <f>55848-2000</f>
        <v>53848</v>
      </c>
      <c r="M345" s="17">
        <v>26957</v>
      </c>
      <c r="N345" s="17">
        <v>31965</v>
      </c>
      <c r="O345" s="56">
        <v>102146</v>
      </c>
      <c r="P345" s="17">
        <v>650494</v>
      </c>
      <c r="Q345" s="275">
        <v>979356</v>
      </c>
      <c r="R345" s="17">
        <v>679513</v>
      </c>
      <c r="S345" s="58">
        <f>17333-1835</f>
        <v>15498</v>
      </c>
      <c r="T345" s="128">
        <f t="shared" si="44"/>
        <v>5058190</v>
      </c>
      <c r="U345" s="185"/>
      <c r="V345" s="185"/>
    </row>
    <row r="346" spans="1:22" ht="15">
      <c r="A346" s="89">
        <v>2400</v>
      </c>
      <c r="B346" s="24" t="s">
        <v>158</v>
      </c>
      <c r="C346" s="17">
        <f>5420+391</f>
        <v>5811</v>
      </c>
      <c r="D346" s="17"/>
      <c r="E346" s="17"/>
      <c r="F346" s="17"/>
      <c r="G346" s="17"/>
      <c r="H346" s="54">
        <v>1900</v>
      </c>
      <c r="I346" s="17">
        <v>462</v>
      </c>
      <c r="J346" s="17">
        <v>502</v>
      </c>
      <c r="K346" s="17">
        <v>1130</v>
      </c>
      <c r="L346" s="17">
        <v>1280</v>
      </c>
      <c r="M346" s="17">
        <v>850</v>
      </c>
      <c r="N346" s="17">
        <v>800</v>
      </c>
      <c r="O346" s="56">
        <v>1829</v>
      </c>
      <c r="P346" s="17">
        <v>3464</v>
      </c>
      <c r="Q346" s="17">
        <v>6869</v>
      </c>
      <c r="R346" s="17">
        <v>3860</v>
      </c>
      <c r="S346" s="58">
        <v>0</v>
      </c>
      <c r="T346" s="128">
        <f t="shared" si="44"/>
        <v>28757</v>
      </c>
      <c r="U346" s="185"/>
      <c r="V346" s="185"/>
    </row>
    <row r="347" spans="1:22" ht="15">
      <c r="A347" s="89">
        <v>2500</v>
      </c>
      <c r="B347" s="24" t="s">
        <v>159</v>
      </c>
      <c r="C347" s="17">
        <f>62857+39013-727</f>
        <v>101143</v>
      </c>
      <c r="D347" s="17">
        <v>287952</v>
      </c>
      <c r="E347" s="17">
        <f>5000-3800</f>
        <v>1200</v>
      </c>
      <c r="F347" s="17">
        <v>2300</v>
      </c>
      <c r="G347" s="17">
        <f>10360+100</f>
        <v>10460</v>
      </c>
      <c r="H347" s="54">
        <v>300</v>
      </c>
      <c r="I347" s="17">
        <v>4879</v>
      </c>
      <c r="J347" s="17">
        <v>4530</v>
      </c>
      <c r="K347" s="17">
        <v>12665</v>
      </c>
      <c r="L347" s="17">
        <v>1694</v>
      </c>
      <c r="M347" s="17">
        <v>1270</v>
      </c>
      <c r="N347" s="17">
        <v>500</v>
      </c>
      <c r="O347" s="56">
        <v>5558</v>
      </c>
      <c r="P347" s="17">
        <v>21230</v>
      </c>
      <c r="Q347" s="17">
        <v>28430</v>
      </c>
      <c r="R347" s="17">
        <v>16903</v>
      </c>
      <c r="S347" s="58">
        <v>250</v>
      </c>
      <c r="T347" s="128">
        <f t="shared" si="44"/>
        <v>501264</v>
      </c>
      <c r="U347" s="185"/>
      <c r="V347" s="185"/>
    </row>
    <row r="348" spans="1:22" ht="30">
      <c r="A348" s="89">
        <v>3200</v>
      </c>
      <c r="B348" s="24" t="s">
        <v>248</v>
      </c>
      <c r="C348" s="17">
        <f>2342895+6000+100862+57872+3627-155861-9600+225-1000-160</f>
        <v>2344860</v>
      </c>
      <c r="D348" s="17"/>
      <c r="E348" s="17"/>
      <c r="F348" s="17"/>
      <c r="G348" s="17"/>
      <c r="H348" s="54"/>
      <c r="I348" s="17"/>
      <c r="J348" s="17"/>
      <c r="K348" s="17"/>
      <c r="L348" s="17"/>
      <c r="M348" s="17"/>
      <c r="N348" s="17"/>
      <c r="O348" s="56"/>
      <c r="P348" s="17">
        <v>55435</v>
      </c>
      <c r="Q348" s="17">
        <v>432305</v>
      </c>
      <c r="R348" s="17">
        <v>1077594</v>
      </c>
      <c r="S348" s="58"/>
      <c r="T348" s="128">
        <f t="shared" si="44"/>
        <v>3910194</v>
      </c>
      <c r="U348" s="185"/>
      <c r="V348" s="185"/>
    </row>
    <row r="349" spans="1:22" ht="15">
      <c r="A349" s="89">
        <v>4200</v>
      </c>
      <c r="B349" s="24" t="s">
        <v>422</v>
      </c>
      <c r="C349" s="17"/>
      <c r="D349" s="17"/>
      <c r="E349" s="17"/>
      <c r="F349" s="17"/>
      <c r="G349" s="17"/>
      <c r="H349" s="54"/>
      <c r="I349" s="17"/>
      <c r="J349" s="17"/>
      <c r="K349" s="17"/>
      <c r="L349" s="17"/>
      <c r="M349" s="17"/>
      <c r="N349" s="17"/>
      <c r="O349" s="56"/>
      <c r="P349" s="17"/>
      <c r="Q349" s="17"/>
      <c r="R349" s="17"/>
      <c r="S349" s="58"/>
      <c r="T349" s="128">
        <f t="shared" si="44"/>
        <v>0</v>
      </c>
      <c r="U349" s="185"/>
      <c r="V349" s="185"/>
    </row>
    <row r="350" spans="1:22" ht="15">
      <c r="A350" s="89">
        <v>4300</v>
      </c>
      <c r="B350" s="24" t="s">
        <v>160</v>
      </c>
      <c r="C350" s="17">
        <f>80000+22804</f>
        <v>102804</v>
      </c>
      <c r="D350" s="17"/>
      <c r="E350" s="17"/>
      <c r="F350" s="17"/>
      <c r="G350" s="17"/>
      <c r="H350" s="54"/>
      <c r="I350" s="17"/>
      <c r="J350" s="17"/>
      <c r="K350" s="17"/>
      <c r="L350" s="17"/>
      <c r="M350" s="17"/>
      <c r="N350" s="17"/>
      <c r="O350" s="56"/>
      <c r="P350" s="17">
        <v>1950</v>
      </c>
      <c r="Q350" s="17">
        <v>13699</v>
      </c>
      <c r="R350" s="17">
        <v>1735</v>
      </c>
      <c r="S350" s="58"/>
      <c r="T350" s="128">
        <f t="shared" si="44"/>
        <v>120188</v>
      </c>
      <c r="U350" s="185"/>
      <c r="V350" s="185"/>
    </row>
    <row r="351" spans="1:22" ht="15">
      <c r="A351" s="89">
        <v>5100</v>
      </c>
      <c r="B351" s="24" t="s">
        <v>122</v>
      </c>
      <c r="C351" s="17">
        <f>35480+826+10079+11350+4503</f>
        <v>62238</v>
      </c>
      <c r="D351" s="17">
        <v>705</v>
      </c>
      <c r="E351" s="17">
        <f>5168-5168</f>
        <v>0</v>
      </c>
      <c r="F351" s="17">
        <v>5168</v>
      </c>
      <c r="G351" s="17"/>
      <c r="H351" s="54"/>
      <c r="I351" s="17"/>
      <c r="J351" s="17">
        <v>435</v>
      </c>
      <c r="K351" s="17"/>
      <c r="L351" s="17"/>
      <c r="M351" s="17">
        <v>215</v>
      </c>
      <c r="N351" s="17"/>
      <c r="O351" s="56"/>
      <c r="P351" s="17">
        <v>5215</v>
      </c>
      <c r="Q351" s="17">
        <v>3220</v>
      </c>
      <c r="R351" s="17">
        <v>36259</v>
      </c>
      <c r="S351" s="58">
        <v>200</v>
      </c>
      <c r="T351" s="128">
        <f t="shared" si="44"/>
        <v>113655</v>
      </c>
      <c r="U351" s="185"/>
      <c r="V351" s="185"/>
    </row>
    <row r="352" spans="1:22" ht="15">
      <c r="A352" s="89">
        <v>5200</v>
      </c>
      <c r="B352" s="24" t="s">
        <v>161</v>
      </c>
      <c r="C352" s="17">
        <f>29668013-667653+900890+396452+24950+551778-2720-34014-5767</f>
        <v>30831929</v>
      </c>
      <c r="D352" s="17">
        <v>876057</v>
      </c>
      <c r="E352" s="17">
        <f>99009-54216</f>
        <v>44793</v>
      </c>
      <c r="F352" s="17">
        <v>78542</v>
      </c>
      <c r="G352" s="17">
        <f>29172+1525</f>
        <v>30697</v>
      </c>
      <c r="H352" s="54">
        <f>33991+16673+18943</f>
        <v>69607</v>
      </c>
      <c r="I352" s="17">
        <v>9039</v>
      </c>
      <c r="J352" s="17">
        <v>16420</v>
      </c>
      <c r="K352" s="17">
        <v>330751</v>
      </c>
      <c r="L352" s="17">
        <f>7969+748</f>
        <v>8717</v>
      </c>
      <c r="M352" s="17">
        <v>72265</v>
      </c>
      <c r="N352" s="17">
        <v>24298</v>
      </c>
      <c r="O352" s="56">
        <v>51524</v>
      </c>
      <c r="P352" s="17">
        <v>975844</v>
      </c>
      <c r="Q352" s="17">
        <v>5711148</v>
      </c>
      <c r="R352" s="17">
        <v>1769425</v>
      </c>
      <c r="S352" s="58">
        <v>121319</v>
      </c>
      <c r="T352" s="128">
        <f t="shared" si="44"/>
        <v>41022375</v>
      </c>
      <c r="U352" s="185"/>
      <c r="V352" s="185"/>
    </row>
    <row r="353" spans="1:22" ht="15">
      <c r="A353" s="89">
        <v>6200</v>
      </c>
      <c r="B353" s="24" t="s">
        <v>162</v>
      </c>
      <c r="C353" s="17">
        <f>554293+16690+17205-5000</f>
        <v>583188</v>
      </c>
      <c r="D353" s="17"/>
      <c r="E353" s="17"/>
      <c r="F353" s="17"/>
      <c r="G353" s="17"/>
      <c r="H353" s="54">
        <v>2390</v>
      </c>
      <c r="I353" s="17">
        <v>2390</v>
      </c>
      <c r="J353" s="17">
        <v>2390</v>
      </c>
      <c r="K353" s="17">
        <v>2390</v>
      </c>
      <c r="L353" s="17">
        <v>2400</v>
      </c>
      <c r="M353" s="17">
        <v>2400</v>
      </c>
      <c r="N353" s="17">
        <v>2400</v>
      </c>
      <c r="O353" s="56">
        <v>2390</v>
      </c>
      <c r="P353" s="17">
        <v>44128</v>
      </c>
      <c r="Q353" s="17">
        <v>220954</v>
      </c>
      <c r="R353" s="17">
        <v>61682</v>
      </c>
      <c r="S353" s="58"/>
      <c r="T353" s="128">
        <f t="shared" si="44"/>
        <v>929102</v>
      </c>
      <c r="U353" s="185"/>
      <c r="V353" s="185"/>
    </row>
    <row r="354" spans="1:22" ht="15">
      <c r="A354" s="89">
        <v>6300</v>
      </c>
      <c r="B354" s="24" t="s">
        <v>163</v>
      </c>
      <c r="C354" s="17">
        <f>240112+56000-15000</f>
        <v>281112</v>
      </c>
      <c r="D354" s="17"/>
      <c r="E354" s="17"/>
      <c r="F354" s="17"/>
      <c r="G354" s="17"/>
      <c r="H354" s="54"/>
      <c r="I354" s="17">
        <v>901</v>
      </c>
      <c r="J354" s="17">
        <f>600-600</f>
        <v>0</v>
      </c>
      <c r="K354" s="17"/>
      <c r="L354" s="17"/>
      <c r="M354" s="17"/>
      <c r="N354" s="17"/>
      <c r="O354" s="56"/>
      <c r="P354" s="17">
        <v>23901</v>
      </c>
      <c r="Q354" s="17">
        <v>42045</v>
      </c>
      <c r="R354" s="17">
        <v>39200</v>
      </c>
      <c r="S354" s="58"/>
      <c r="T354" s="128">
        <f t="shared" si="44"/>
        <v>387159</v>
      </c>
      <c r="U354" s="185"/>
      <c r="V354" s="185"/>
    </row>
    <row r="355" spans="1:22" ht="30">
      <c r="A355" s="89">
        <v>6400</v>
      </c>
      <c r="B355" s="24" t="s">
        <v>249</v>
      </c>
      <c r="C355" s="17">
        <f>733189-57982+88482+4837</f>
        <v>768526</v>
      </c>
      <c r="D355" s="17"/>
      <c r="E355" s="17"/>
      <c r="F355" s="17"/>
      <c r="G355" s="17"/>
      <c r="H355" s="54">
        <v>330</v>
      </c>
      <c r="I355" s="17"/>
      <c r="J355" s="17">
        <v>210</v>
      </c>
      <c r="K355" s="17">
        <v>760</v>
      </c>
      <c r="L355" s="17"/>
      <c r="M355" s="17"/>
      <c r="N355" s="17"/>
      <c r="O355" s="56">
        <v>120</v>
      </c>
      <c r="P355" s="17">
        <v>147841</v>
      </c>
      <c r="Q355" s="17">
        <v>318060</v>
      </c>
      <c r="R355" s="17">
        <v>265239</v>
      </c>
      <c r="S355" s="58"/>
      <c r="T355" s="128">
        <f t="shared" si="44"/>
        <v>1501086</v>
      </c>
      <c r="U355" s="185"/>
      <c r="V355" s="185"/>
    </row>
    <row r="356" spans="1:22" ht="30">
      <c r="A356" s="89">
        <v>6500</v>
      </c>
      <c r="B356" s="24" t="s">
        <v>277</v>
      </c>
      <c r="C356" s="17">
        <v>500</v>
      </c>
      <c r="D356" s="17"/>
      <c r="E356" s="17"/>
      <c r="F356" s="17"/>
      <c r="G356" s="17"/>
      <c r="H356" s="54"/>
      <c r="I356" s="17"/>
      <c r="J356" s="17"/>
      <c r="K356" s="17"/>
      <c r="L356" s="17"/>
      <c r="M356" s="17"/>
      <c r="N356" s="17"/>
      <c r="O356" s="56"/>
      <c r="P356" s="17">
        <v>3912</v>
      </c>
      <c r="Q356" s="17"/>
      <c r="R356" s="17"/>
      <c r="S356" s="58"/>
      <c r="T356" s="128">
        <f t="shared" si="44"/>
        <v>4412</v>
      </c>
      <c r="U356" s="185"/>
      <c r="V356" s="185"/>
    </row>
    <row r="357" spans="1:22" ht="15">
      <c r="A357" s="89">
        <v>7200</v>
      </c>
      <c r="B357" s="24" t="s">
        <v>250</v>
      </c>
      <c r="C357" s="17">
        <f>895506+2034-50000+222508-48774-1451-47-225</f>
        <v>1019551</v>
      </c>
      <c r="D357" s="17"/>
      <c r="E357" s="17"/>
      <c r="F357" s="17"/>
      <c r="G357" s="17"/>
      <c r="H357" s="54"/>
      <c r="I357" s="17"/>
      <c r="J357" s="17"/>
      <c r="K357" s="17"/>
      <c r="L357" s="17"/>
      <c r="M357" s="17"/>
      <c r="N357" s="17"/>
      <c r="O357" s="56"/>
      <c r="P357" s="17">
        <v>172316</v>
      </c>
      <c r="Q357" s="17">
        <v>214886</v>
      </c>
      <c r="R357" s="17">
        <v>750726</v>
      </c>
      <c r="S357" s="58"/>
      <c r="T357" s="128">
        <f t="shared" si="44"/>
        <v>2157479</v>
      </c>
      <c r="U357" s="185"/>
      <c r="V357" s="185"/>
    </row>
    <row r="358" spans="1:22" ht="30">
      <c r="A358" s="89">
        <v>7400</v>
      </c>
      <c r="B358" s="24" t="s">
        <v>668</v>
      </c>
      <c r="C358" s="17">
        <f>488-488</f>
        <v>0</v>
      </c>
      <c r="D358" s="17"/>
      <c r="E358" s="17"/>
      <c r="F358" s="17"/>
      <c r="G358" s="17"/>
      <c r="H358" s="54"/>
      <c r="I358" s="17"/>
      <c r="J358" s="17"/>
      <c r="K358" s="17"/>
      <c r="L358" s="17"/>
      <c r="M358" s="17"/>
      <c r="N358" s="17"/>
      <c r="O358" s="56"/>
      <c r="P358" s="17"/>
      <c r="Q358" s="17"/>
      <c r="R358" s="17"/>
      <c r="S358" s="56"/>
      <c r="T358" s="128">
        <f t="shared" si="44"/>
        <v>0</v>
      </c>
      <c r="U358" s="185"/>
      <c r="V358" s="185"/>
    </row>
    <row r="359" spans="1:22" ht="15">
      <c r="A359" s="89">
        <v>7700</v>
      </c>
      <c r="B359" s="24" t="s">
        <v>524</v>
      </c>
      <c r="C359" s="17"/>
      <c r="D359" s="17"/>
      <c r="E359" s="17"/>
      <c r="F359" s="17"/>
      <c r="G359" s="17"/>
      <c r="H359" s="54"/>
      <c r="I359" s="17"/>
      <c r="J359" s="17"/>
      <c r="K359" s="17"/>
      <c r="L359" s="17"/>
      <c r="M359" s="17"/>
      <c r="N359" s="17"/>
      <c r="O359" s="56"/>
      <c r="P359" s="17"/>
      <c r="Q359" s="17"/>
      <c r="R359" s="17"/>
      <c r="S359" s="56"/>
      <c r="T359" s="128">
        <f t="shared" si="44"/>
        <v>0</v>
      </c>
      <c r="U359" s="185"/>
      <c r="V359" s="185"/>
    </row>
    <row r="360" spans="1:22" ht="15">
      <c r="A360" s="89">
        <v>8100</v>
      </c>
      <c r="B360" s="17" t="s">
        <v>289</v>
      </c>
      <c r="C360" s="17">
        <v>12</v>
      </c>
      <c r="D360" s="17"/>
      <c r="E360" s="17"/>
      <c r="F360" s="17"/>
      <c r="G360" s="17"/>
      <c r="H360" s="54"/>
      <c r="I360" s="17"/>
      <c r="J360" s="17"/>
      <c r="K360" s="17"/>
      <c r="L360" s="17"/>
      <c r="M360" s="17"/>
      <c r="N360" s="17"/>
      <c r="O360" s="56"/>
      <c r="P360" s="17"/>
      <c r="Q360" s="17"/>
      <c r="R360" s="17"/>
      <c r="S360" s="56"/>
      <c r="T360" s="128">
        <f t="shared" si="44"/>
        <v>12</v>
      </c>
      <c r="U360" s="185"/>
      <c r="V360" s="185"/>
    </row>
    <row r="361" spans="1:22" ht="45">
      <c r="A361" s="89">
        <v>8900</v>
      </c>
      <c r="B361" s="67" t="s">
        <v>423</v>
      </c>
      <c r="C361" s="69"/>
      <c r="D361" s="69"/>
      <c r="E361" s="69"/>
      <c r="F361" s="69"/>
      <c r="G361" s="69"/>
      <c r="H361" s="17"/>
      <c r="I361" s="69"/>
      <c r="J361" s="69"/>
      <c r="K361" s="69"/>
      <c r="L361" s="69"/>
      <c r="M361" s="69"/>
      <c r="N361" s="17"/>
      <c r="O361" s="63"/>
      <c r="P361" s="65"/>
      <c r="Q361" s="65"/>
      <c r="R361" s="65"/>
      <c r="S361" s="63"/>
      <c r="T361" s="128">
        <f>SUM(C361:S361)</f>
        <v>0</v>
      </c>
      <c r="U361" s="185"/>
      <c r="V361" s="185"/>
    </row>
    <row r="362" spans="1:22" ht="15.75" thickBot="1">
      <c r="A362" s="77">
        <v>9000</v>
      </c>
      <c r="B362" s="212" t="s">
        <v>381</v>
      </c>
      <c r="C362" s="84"/>
      <c r="D362" s="84"/>
      <c r="E362" s="84"/>
      <c r="F362" s="84"/>
      <c r="G362" s="84"/>
      <c r="H362" s="84"/>
      <c r="I362" s="84"/>
      <c r="J362" s="84"/>
      <c r="K362" s="84"/>
      <c r="L362" s="84"/>
      <c r="M362" s="84"/>
      <c r="N362" s="84"/>
      <c r="O362" s="84"/>
      <c r="P362" s="239"/>
      <c r="Q362" s="239"/>
      <c r="R362" s="239"/>
      <c r="S362" s="256"/>
      <c r="T362" s="128">
        <f>SUM(C362:S362)</f>
        <v>0</v>
      </c>
      <c r="U362" s="185"/>
      <c r="V362" s="185"/>
    </row>
    <row r="363" spans="1:22" ht="15.75" thickBot="1">
      <c r="A363" s="182"/>
      <c r="B363" s="213" t="s">
        <v>164</v>
      </c>
      <c r="C363" s="214">
        <f aca="true" t="shared" si="45" ref="C363:S363">SUM(C340:C342,C348:C362)</f>
        <v>63508539</v>
      </c>
      <c r="D363" s="214">
        <f t="shared" si="45"/>
        <v>3649161</v>
      </c>
      <c r="E363" s="214">
        <f t="shared" si="45"/>
        <v>850604</v>
      </c>
      <c r="F363" s="214">
        <f t="shared" si="45"/>
        <v>539668</v>
      </c>
      <c r="G363" s="214">
        <f t="shared" si="45"/>
        <v>397342</v>
      </c>
      <c r="H363" s="214">
        <f t="shared" si="45"/>
        <v>1983751</v>
      </c>
      <c r="I363" s="214">
        <f t="shared" si="45"/>
        <v>443373</v>
      </c>
      <c r="J363" s="214">
        <f t="shared" si="45"/>
        <v>1039086</v>
      </c>
      <c r="K363" s="214">
        <f t="shared" si="45"/>
        <v>3266109</v>
      </c>
      <c r="L363" s="214">
        <f t="shared" si="45"/>
        <v>386808</v>
      </c>
      <c r="M363" s="214">
        <f t="shared" si="45"/>
        <v>385340</v>
      </c>
      <c r="N363" s="214">
        <f t="shared" si="45"/>
        <v>354935</v>
      </c>
      <c r="O363" s="214">
        <f t="shared" si="45"/>
        <v>1068745</v>
      </c>
      <c r="P363" s="214">
        <f t="shared" si="45"/>
        <v>7612440</v>
      </c>
      <c r="Q363" s="214">
        <f t="shared" si="45"/>
        <v>18160315</v>
      </c>
      <c r="R363" s="214">
        <f t="shared" si="45"/>
        <v>14885724</v>
      </c>
      <c r="S363" s="214">
        <f t="shared" si="45"/>
        <v>327822</v>
      </c>
      <c r="T363" s="46">
        <f>SUM(C363:S363)</f>
        <v>118859762</v>
      </c>
      <c r="U363" s="185"/>
      <c r="V363" s="185"/>
    </row>
    <row r="364" spans="2:7" ht="15">
      <c r="B364" s="215"/>
      <c r="C364" s="200"/>
      <c r="D364" s="187"/>
      <c r="E364" s="30"/>
      <c r="F364" s="30"/>
      <c r="G364" s="30"/>
    </row>
    <row r="365" spans="2:22" ht="15">
      <c r="B365" s="215"/>
      <c r="C365" s="200"/>
      <c r="D365" s="187"/>
      <c r="E365" s="30"/>
      <c r="F365" s="30"/>
      <c r="G365" s="30"/>
      <c r="T365" s="184"/>
      <c r="U365" s="184"/>
      <c r="V365" s="184"/>
    </row>
    <row r="366" spans="2:7" ht="15">
      <c r="B366" s="216" t="s">
        <v>263</v>
      </c>
      <c r="C366" s="200"/>
      <c r="D366" s="187"/>
      <c r="E366" s="30" t="s">
        <v>20</v>
      </c>
      <c r="F366" s="30"/>
      <c r="G366" s="30"/>
    </row>
    <row r="371" ht="15">
      <c r="B371" s="216"/>
    </row>
  </sheetData>
  <sheetProtection/>
  <mergeCells count="2">
    <mergeCell ref="A5:D5"/>
    <mergeCell ref="A338:D338"/>
  </mergeCells>
  <printOptions/>
  <pageMargins left="0.2362204724409449" right="0.35433070866141736" top="0.7874015748031497" bottom="0.5905511811023623" header="0.5118110236220472" footer="0.5118110236220472"/>
  <pageSetup fitToHeight="0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Ogres novada dome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Velberga</dc:creator>
  <cp:keywords/>
  <dc:description/>
  <cp:lastModifiedBy>Santa Hermane</cp:lastModifiedBy>
  <cp:lastPrinted>2021-12-03T14:19:44Z</cp:lastPrinted>
  <dcterms:created xsi:type="dcterms:W3CDTF">2006-04-20T10:34:24Z</dcterms:created>
  <dcterms:modified xsi:type="dcterms:W3CDTF">2021-12-16T13:35:34Z</dcterms:modified>
  <cp:category/>
  <cp:version/>
  <cp:contentType/>
  <cp:contentStatus/>
</cp:coreProperties>
</file>