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Pamatbudžets   " sheetId="1" r:id="rId1"/>
    <sheet name="Sheet3" sheetId="2" r:id="rId2"/>
  </sheets>
  <definedNames>
    <definedName name="_xlnm.Print_Titles" localSheetId="0">'Pamatbudžets   '!$7:$7</definedName>
  </definedNames>
  <calcPr fullCalcOnLoad="1"/>
</workbook>
</file>

<file path=xl/sharedStrings.xml><?xml version="1.0" encoding="utf-8"?>
<sst xmlns="http://schemas.openxmlformats.org/spreadsheetml/2006/main" count="520" uniqueCount="484">
  <si>
    <t>Kods</t>
  </si>
  <si>
    <t>4.1.1.0.</t>
  </si>
  <si>
    <t>4.1.2.0.</t>
  </si>
  <si>
    <t>Pašvaldību nodevas</t>
  </si>
  <si>
    <t>9.5.0.0.</t>
  </si>
  <si>
    <t>07.000</t>
  </si>
  <si>
    <t>10.000</t>
  </si>
  <si>
    <t>Izglītība</t>
  </si>
  <si>
    <t>04.000</t>
  </si>
  <si>
    <t>Kultūra</t>
  </si>
  <si>
    <t>08.000</t>
  </si>
  <si>
    <t>05.000</t>
  </si>
  <si>
    <t>06.000</t>
  </si>
  <si>
    <t>Pašvaldības policija</t>
  </si>
  <si>
    <t>Kopā izdevumi:</t>
  </si>
  <si>
    <t>S.Velberga</t>
  </si>
  <si>
    <t>21.3.0.0.</t>
  </si>
  <si>
    <t>Valsts kases kredīts</t>
  </si>
  <si>
    <t>Nodokļu ieņēmumi</t>
  </si>
  <si>
    <t>1.1.1.0.</t>
  </si>
  <si>
    <t>4.1.0.0.</t>
  </si>
  <si>
    <t>Nekustamā īpašuma nodoklis</t>
  </si>
  <si>
    <t>Nekustamā īpašuma nodoklis par zemi</t>
  </si>
  <si>
    <t xml:space="preserve">Nekustamā īpašuma nodoklis par ēkām </t>
  </si>
  <si>
    <t>Nenodokļu ieņēmumi</t>
  </si>
  <si>
    <t>9.4.0.0.</t>
  </si>
  <si>
    <t>Valsts nodevas, kuras ieskaita pašvaldību budžetā</t>
  </si>
  <si>
    <t>Pārējie nenodokļu ieņēmumi</t>
  </si>
  <si>
    <t>13.0.0.0.</t>
  </si>
  <si>
    <t>18.0.0.0.</t>
  </si>
  <si>
    <t>19.0.0.0.</t>
  </si>
  <si>
    <t>Pašvaldību budžetu transferti</t>
  </si>
  <si>
    <t>19.2.0.0.</t>
  </si>
  <si>
    <t>21.0.0.0.</t>
  </si>
  <si>
    <t>Budžeta iestāžu ieņēmumi</t>
  </si>
  <si>
    <t>21.3.8.0.</t>
  </si>
  <si>
    <t>Ieņēmumi par nomu un īri</t>
  </si>
  <si>
    <t>21.3.9.0.</t>
  </si>
  <si>
    <t>Ieņēmumi par pārējiem budžeta iestāžu maksas pakalpojumiem</t>
  </si>
  <si>
    <t>KOPĀ IEŅĒMUMI</t>
  </si>
  <si>
    <t>Kopā ar kredītresursiem:</t>
  </si>
  <si>
    <t>Kopā ar budžeta atlikumu</t>
  </si>
  <si>
    <t>01.000</t>
  </si>
  <si>
    <t>Vispārējie valdības dienesti</t>
  </si>
  <si>
    <t>01.720</t>
  </si>
  <si>
    <t>Pašvaldību budžetu parāda darījumi</t>
  </si>
  <si>
    <t>01.721</t>
  </si>
  <si>
    <t>01.830</t>
  </si>
  <si>
    <t>Vispārēja rakstura transferti no pašvaldību budžeta pašvaldību budžetam</t>
  </si>
  <si>
    <t xml:space="preserve">       Norēķini ar citu pašvaldību izglītības iestādēm</t>
  </si>
  <si>
    <t>01.890</t>
  </si>
  <si>
    <t>03.000</t>
  </si>
  <si>
    <t>Sabiedriskā kārtība un drošība</t>
  </si>
  <si>
    <t>03.600</t>
  </si>
  <si>
    <t>Ekonomiskā darbība</t>
  </si>
  <si>
    <t>04.210</t>
  </si>
  <si>
    <t>04.510</t>
  </si>
  <si>
    <t>Autotransports</t>
  </si>
  <si>
    <t>04.600</t>
  </si>
  <si>
    <t>Sakari</t>
  </si>
  <si>
    <t>Vides aizsardzība</t>
  </si>
  <si>
    <t>05.100</t>
  </si>
  <si>
    <t>Atkritumu apsaimniekošana</t>
  </si>
  <si>
    <t>05.200</t>
  </si>
  <si>
    <t>Notekūdeņu apsaimniekošana</t>
  </si>
  <si>
    <t>Pašvaldības teritoriju un mājokļu apsaimniekošana</t>
  </si>
  <si>
    <t>06.300</t>
  </si>
  <si>
    <t>Ūdensapgāde</t>
  </si>
  <si>
    <t>06.400</t>
  </si>
  <si>
    <t>Ielu apgaismošana</t>
  </si>
  <si>
    <t>06.600</t>
  </si>
  <si>
    <t>Pārējā citur nekvalificētā pašvaldību teritoriju un mājokļu apsaimniekošanas darbība</t>
  </si>
  <si>
    <t>Veselība</t>
  </si>
  <si>
    <t>07.210</t>
  </si>
  <si>
    <t>Ambulatorās ārstniecības iestādes</t>
  </si>
  <si>
    <t>Atpūta, kultūra un reliģija</t>
  </si>
  <si>
    <t>08.100</t>
  </si>
  <si>
    <t>Atpūtas un sporta  pasākumi</t>
  </si>
  <si>
    <t xml:space="preserve">       Sporta pasākumu rīkošanai</t>
  </si>
  <si>
    <t xml:space="preserve">       Komandas vai individuālu sacensību dalībnieku atbalstam</t>
  </si>
  <si>
    <t>08.200</t>
  </si>
  <si>
    <t>08.220</t>
  </si>
  <si>
    <t>08.290</t>
  </si>
  <si>
    <t>Televīzija</t>
  </si>
  <si>
    <t>09.000</t>
  </si>
  <si>
    <t>09.100</t>
  </si>
  <si>
    <t>PII  "Cīrulītis"</t>
  </si>
  <si>
    <t>PII  "Dzīpariņš"</t>
  </si>
  <si>
    <t>PII  "Zelta sietiņš"</t>
  </si>
  <si>
    <t>PII  "Saulīte"</t>
  </si>
  <si>
    <t>PII " Ābelīte"</t>
  </si>
  <si>
    <t>09.211</t>
  </si>
  <si>
    <t>Ogres 1. vidusskola</t>
  </si>
  <si>
    <t>Ogres ģimnāzija</t>
  </si>
  <si>
    <t>Jaunogres vidusskola</t>
  </si>
  <si>
    <t>Ogresgala pamatskola</t>
  </si>
  <si>
    <t>09.510</t>
  </si>
  <si>
    <t>Interešu un profesionālās ievirzes izglītība</t>
  </si>
  <si>
    <t>Sporta centrs</t>
  </si>
  <si>
    <t>Mūzikas skola</t>
  </si>
  <si>
    <t>Mākslas skola</t>
  </si>
  <si>
    <t>09.820</t>
  </si>
  <si>
    <t>Sociālā aizsardzība</t>
  </si>
  <si>
    <t>10.600</t>
  </si>
  <si>
    <t>Mājokļa atbalsts</t>
  </si>
  <si>
    <t>10.700</t>
  </si>
  <si>
    <t>Pārējais citur neklasificēts atbalsts sociāli atstumtām personām</t>
  </si>
  <si>
    <t xml:space="preserve">Sociālais dienests </t>
  </si>
  <si>
    <t>Izdevniecība ( Novada informatīvie izdevumi )</t>
  </si>
  <si>
    <t>04.220</t>
  </si>
  <si>
    <t>Mežsaimniecība un medniecība</t>
  </si>
  <si>
    <t>04.111</t>
  </si>
  <si>
    <t>Vispārējas ekonomiskas darbības vadība</t>
  </si>
  <si>
    <t xml:space="preserve">       Ceļu būvniecībai un remontiem</t>
  </si>
  <si>
    <t xml:space="preserve">       Pašvaldību budžetu valsts iekšējā parāda darījumi</t>
  </si>
  <si>
    <t xml:space="preserve">       Notekūdeņu (savākšana un attīrīšana)</t>
  </si>
  <si>
    <t>Pabalsts maznodrošinātām ģimenēm</t>
  </si>
  <si>
    <t>Valsts budžeta transferti</t>
  </si>
  <si>
    <t xml:space="preserve">    Muzeji un izstādes</t>
  </si>
  <si>
    <t xml:space="preserve">    Finansējums PA "Ogres kultūras centrs"</t>
  </si>
  <si>
    <t xml:space="preserve">    Pilsētas dekorēšana svētkiem</t>
  </si>
  <si>
    <t xml:space="preserve">    Pensionēto izglītības darbinieku pasāk.</t>
  </si>
  <si>
    <t>Ieņēmumi no pašvaldības īpašuma iznomāšanas, pārdošanas un nodokļu pamatp.kapitaliz.</t>
  </si>
  <si>
    <t>Pielikums Nr.2</t>
  </si>
  <si>
    <t>Pielikums Nr.1</t>
  </si>
  <si>
    <t xml:space="preserve">       Lietus ūdens kanalizācija </t>
  </si>
  <si>
    <t>PII " Strautiņš"</t>
  </si>
  <si>
    <t xml:space="preserve">       mājokļu apsaimniekošana</t>
  </si>
  <si>
    <t xml:space="preserve">       siltumapgāde</t>
  </si>
  <si>
    <t xml:space="preserve">       kapu saimniecība</t>
  </si>
  <si>
    <t>Basketbola skola</t>
  </si>
  <si>
    <t xml:space="preserve">      Pārējie izdevumi</t>
  </si>
  <si>
    <t>Preces un pakalpojumi</t>
  </si>
  <si>
    <t>Pakalpojumi</t>
  </si>
  <si>
    <t>Krājumi,materiāli,energoresursi,prece,biroja preces un inventārs, ko neuzskaita  5000. kodā</t>
  </si>
  <si>
    <t>Budžeta iestāžu nodokļu maksājumi</t>
  </si>
  <si>
    <t xml:space="preserve">Pārējie procentu maksājumi </t>
  </si>
  <si>
    <t>Nemateriālie ieguldījumi</t>
  </si>
  <si>
    <t>Pamatlīdzekļi</t>
  </si>
  <si>
    <t xml:space="preserve">Sociālie pabalsti naudā </t>
  </si>
  <si>
    <t xml:space="preserve"> IZDEVUMI KOPĀ</t>
  </si>
  <si>
    <t>Naudas sodi</t>
  </si>
  <si>
    <t xml:space="preserve">Pozīcijas nosaukums             </t>
  </si>
  <si>
    <t>Ieņēmumi no iedzīvotāju ienākuma nodokļa</t>
  </si>
  <si>
    <t>4.0.0.0.</t>
  </si>
  <si>
    <t>Īpašuma nodokļi</t>
  </si>
  <si>
    <t>21.3.6.0.</t>
  </si>
  <si>
    <t>Ieņēmumi no lauksaimnieciskās darbības</t>
  </si>
  <si>
    <t>21.3.7.0.</t>
  </si>
  <si>
    <t>Ieņēmumi par  dokumentu izsniegšanu un kancelejas pakalpojumiem</t>
  </si>
  <si>
    <t>F40 32 00 10</t>
  </si>
  <si>
    <t>Būvvalde</t>
  </si>
  <si>
    <t xml:space="preserve">      Īpašumu uzmērīšanai un reģistrēšanai Zemesgrāmatā</t>
  </si>
  <si>
    <t>PII "Taurenītis"</t>
  </si>
  <si>
    <t xml:space="preserve">Ķeipenes pamatskola </t>
  </si>
  <si>
    <t>Madlienas vidusskola</t>
  </si>
  <si>
    <t>09.219</t>
  </si>
  <si>
    <t>Suntažu vidusskola</t>
  </si>
  <si>
    <t>Madlienas mūzikas un mākslas skola</t>
  </si>
  <si>
    <t>09.600</t>
  </si>
  <si>
    <t>Izglītības papildu pakalpojumi</t>
  </si>
  <si>
    <t>10.500</t>
  </si>
  <si>
    <t>Atbalsts bezdarba gadījumā</t>
  </si>
  <si>
    <t xml:space="preserve">Sabiedriskās organizācijas </t>
  </si>
  <si>
    <t>Pansionāts "Madliena"</t>
  </si>
  <si>
    <t>F40 32 00 20</t>
  </si>
  <si>
    <t>Izdevumi periodikas iegādei</t>
  </si>
  <si>
    <t>Sociālie pabalsti natūrā</t>
  </si>
  <si>
    <t>Ogres novada pašvaldības</t>
  </si>
  <si>
    <t>5.5.3.0.</t>
  </si>
  <si>
    <t>Dabas resursu nodoklis</t>
  </si>
  <si>
    <t>21.3.5.0.</t>
  </si>
  <si>
    <t>Maksa par izglītības pakalpojumiem</t>
  </si>
  <si>
    <t>1.1.1.1.</t>
  </si>
  <si>
    <t>Saņemts no VK sadales konta  iepriekšējā gada nesadalītais iedzīvotāju ienākuma nodokļa atlikums</t>
  </si>
  <si>
    <t>1.1.1.2.</t>
  </si>
  <si>
    <t>Saņemts no VK sadales konta  pārskata gadā ieskaitītais iedzīvotāju ienākuma nodoklis</t>
  </si>
  <si>
    <t>8.6.0.0.</t>
  </si>
  <si>
    <t>Procentu ieņēmumi par depozītiem, kontu atlikumiem un vērtpapīriem</t>
  </si>
  <si>
    <t>10.1.0.0.</t>
  </si>
  <si>
    <t>19.3.0.0.</t>
  </si>
  <si>
    <t>21.1.0.0.</t>
  </si>
  <si>
    <t xml:space="preserve">Budžeta iestādes ieņēmumi no ārvalstu finanšu palīdzības </t>
  </si>
  <si>
    <t>F56010000</t>
  </si>
  <si>
    <t>Kapitālieguldījumu fondu akcijas</t>
  </si>
  <si>
    <t>Ielu tīrīšanai, atkritumu savākšanai,teritoriju labiekārtošanai</t>
  </si>
  <si>
    <t>Mājokļu attīstība pašvaldībā</t>
  </si>
  <si>
    <t xml:space="preserve">       Ģimenes ārstu prakse </t>
  </si>
  <si>
    <t xml:space="preserve">    Bibliotēkas </t>
  </si>
  <si>
    <t xml:space="preserve">    Dalībai dziesmu un deju svētkos</t>
  </si>
  <si>
    <t>PII "Riekstiņš"</t>
  </si>
  <si>
    <t>09.810</t>
  </si>
  <si>
    <t>Projekts Skolēnu autobusi (Soc.droš.tīkls)</t>
  </si>
  <si>
    <t>10.400</t>
  </si>
  <si>
    <t>Atbalsts ģimenēm ar bērniem (Bāriņtiesas)</t>
  </si>
  <si>
    <t>18.6.0.0.</t>
  </si>
  <si>
    <t>Pašvaldību saņemtie transferti no valsts budžeta</t>
  </si>
  <si>
    <t>Pašvaldību saņemtie transferti no citām pašvaldībām</t>
  </si>
  <si>
    <t>Ieņēmumi no budžeta iestāžu sniegtajiem maksas pakalpojumiem un citi pašu ieņēmumi</t>
  </si>
  <si>
    <t>Atalgojums</t>
  </si>
  <si>
    <t>Mācību, darba un dienesta komandējumi, dienesta, darba braucieni</t>
  </si>
  <si>
    <t>Darba devēja valsts sociālās apdrošināšanas obligātās iemaksas, sociālā rakstura pabalsti un kompensācijas</t>
  </si>
  <si>
    <t>Subsīdijas un dotācijas komersantiem, biedrībām un nodibinājumiem</t>
  </si>
  <si>
    <t>Pašvaldību  uzturēšanas izdevumu transferti padotības iestādēm</t>
  </si>
  <si>
    <t>Pašvaldību uzturēšanas izdevumu transferti</t>
  </si>
  <si>
    <t>03.110</t>
  </si>
  <si>
    <t xml:space="preserve">Izpildvaras un likumdošanas varas  institūcijas </t>
  </si>
  <si>
    <t>01.820</t>
  </si>
  <si>
    <t>Vispārēja rakstura transferti no pašvaldību budžeta valsts budžetam</t>
  </si>
  <si>
    <t xml:space="preserve">Izdevumi neparedzētiem gadījumiem </t>
  </si>
  <si>
    <t>Pārējie sabiedriskās kārtības un drošības pakalpojumi (Video novērošanai Ogrē)</t>
  </si>
  <si>
    <t>04.11101</t>
  </si>
  <si>
    <t>Uzņēmējdarbības  attīstības veicināšanai</t>
  </si>
  <si>
    <t xml:space="preserve">Lauksaimniecība </t>
  </si>
  <si>
    <t>04.51004</t>
  </si>
  <si>
    <t>04.6001</t>
  </si>
  <si>
    <t>05.1001</t>
  </si>
  <si>
    <t>05.2001</t>
  </si>
  <si>
    <t>05.2002</t>
  </si>
  <si>
    <t>05.400</t>
  </si>
  <si>
    <t>Bioloģiskās daudzveidības un ainavas aizsardzība</t>
  </si>
  <si>
    <t>05.300</t>
  </si>
  <si>
    <t>Vides piesārņojuma novēršana un samazināšana</t>
  </si>
  <si>
    <t>06.60001</t>
  </si>
  <si>
    <t>06.60002</t>
  </si>
  <si>
    <t>06.60003</t>
  </si>
  <si>
    <t>06.60006</t>
  </si>
  <si>
    <t>06.60007</t>
  </si>
  <si>
    <t>06.60008</t>
  </si>
  <si>
    <t>06.60009</t>
  </si>
  <si>
    <t>06.60010</t>
  </si>
  <si>
    <t>08.1001</t>
  </si>
  <si>
    <t>08.1002</t>
  </si>
  <si>
    <t>08.2202</t>
  </si>
  <si>
    <t xml:space="preserve">    Kultūras centri, nami</t>
  </si>
  <si>
    <t>Pārējā citur neklasificētā kultūra</t>
  </si>
  <si>
    <t>08.29001</t>
  </si>
  <si>
    <t>08.29002</t>
  </si>
  <si>
    <t>08.29003</t>
  </si>
  <si>
    <t>08.29004</t>
  </si>
  <si>
    <t>09.10002</t>
  </si>
  <si>
    <t>09.10003</t>
  </si>
  <si>
    <t>09.10004</t>
  </si>
  <si>
    <t>09.10005</t>
  </si>
  <si>
    <t>09.10006</t>
  </si>
  <si>
    <t>09.10007</t>
  </si>
  <si>
    <t>09.10008</t>
  </si>
  <si>
    <t>09.10009</t>
  </si>
  <si>
    <t>09.10010</t>
  </si>
  <si>
    <t>Sākumskolas (ISCED-97 1. līmenis)</t>
  </si>
  <si>
    <t>Vispārējās izglītības mācību iestāžu izdevumi (ISCED-97 1.- 3. līmenis)</t>
  </si>
  <si>
    <t>09.21901</t>
  </si>
  <si>
    <t>09.21902</t>
  </si>
  <si>
    <t>09.21903</t>
  </si>
  <si>
    <t>09.21904</t>
  </si>
  <si>
    <t>09.21905</t>
  </si>
  <si>
    <t>09.21906</t>
  </si>
  <si>
    <t>09.21907</t>
  </si>
  <si>
    <t>09.21908</t>
  </si>
  <si>
    <t>09.21910</t>
  </si>
  <si>
    <t>09.5101</t>
  </si>
  <si>
    <t>09.5102</t>
  </si>
  <si>
    <t>09.5103</t>
  </si>
  <si>
    <t>09.5104</t>
  </si>
  <si>
    <t>09.5106</t>
  </si>
  <si>
    <t>Pārējā citur neklasificētā izglītība (izglītības projektu realizācija)</t>
  </si>
  <si>
    <t>09.82007</t>
  </si>
  <si>
    <t>09.82008</t>
  </si>
  <si>
    <t>10.70001</t>
  </si>
  <si>
    <t>10.70002</t>
  </si>
  <si>
    <t>10.70005</t>
  </si>
  <si>
    <t>10.70006</t>
  </si>
  <si>
    <t>10.70010</t>
  </si>
  <si>
    <t>08.230</t>
  </si>
  <si>
    <t>Pārējā izglītības vadība (Izglītības un sporta pārvalde)</t>
  </si>
  <si>
    <t>01.830    7230</t>
  </si>
  <si>
    <t>Teritoriju attīstība ( projektēšanai )</t>
  </si>
  <si>
    <t xml:space="preserve">Pirmsskolas izglītība </t>
  </si>
  <si>
    <t>Pārējie maksājumi iedzīvotājiem natūrā un kompensācijas</t>
  </si>
  <si>
    <t>Pārējais autotransports</t>
  </si>
  <si>
    <t xml:space="preserve">      Saimniecības nodaļa</t>
  </si>
  <si>
    <t>01.100</t>
  </si>
  <si>
    <t>Finansējums bērniem, kuri apmeklē privātās pirmsskolas izglītūibas iestādes</t>
  </si>
  <si>
    <t>4.1.3.0.</t>
  </si>
  <si>
    <t>Nekustamā īpašuma nodoklis par mājokļiem</t>
  </si>
  <si>
    <t>06.100</t>
  </si>
  <si>
    <t>06.3001</t>
  </si>
  <si>
    <t xml:space="preserve">          Vēstures un mākslas muzejs</t>
  </si>
  <si>
    <t>17.2.0.0.</t>
  </si>
  <si>
    <t>Pašvaldību saņemtie transferti no valsts budžeta daļēji finansētām atvasinātām publiskām personām un no budžeta nefinansētām iestādēm</t>
  </si>
  <si>
    <t>Finansējums Ogres un Ikšķiles PA "Tūrisma, sporta un atpūtas kompleksa "Zilie kalni"attīstības aģentūra"</t>
  </si>
  <si>
    <t>03.200</t>
  </si>
  <si>
    <t>Ugunsdrošības, glābšanas un civilās drošības dienesti</t>
  </si>
  <si>
    <t>Publisko interneta pieejas punktu attīstība</t>
  </si>
  <si>
    <t>Taurupes pamatskola</t>
  </si>
  <si>
    <t>F22010020</t>
  </si>
  <si>
    <t>Pieprasījuma noguldījuma izņemšana</t>
  </si>
  <si>
    <t>Budžeta nodaļas vadītāja</t>
  </si>
  <si>
    <t>F20010000 AS</t>
  </si>
  <si>
    <t>F20010000 AB</t>
  </si>
  <si>
    <t>21.4.9.0</t>
  </si>
  <si>
    <t>Pārējie iepriekš neklasificētie pašu ieņēmumi</t>
  </si>
  <si>
    <t>04.11114</t>
  </si>
  <si>
    <t>04.2101</t>
  </si>
  <si>
    <t>04.2102</t>
  </si>
  <si>
    <t>04.2103</t>
  </si>
  <si>
    <t>04.51007</t>
  </si>
  <si>
    <t xml:space="preserve">     Grants ceļu bez cietā seguma posmu pārbūve Ogres novadā</t>
  </si>
  <si>
    <t>05.1007</t>
  </si>
  <si>
    <t xml:space="preserve">      Koncesija atkritumu apsaimniekošana</t>
  </si>
  <si>
    <t>06.1001</t>
  </si>
  <si>
    <t>08.1004</t>
  </si>
  <si>
    <t xml:space="preserve">       Struktūrvienība peldbaseins  "Neptūns"</t>
  </si>
  <si>
    <t>08.29011</t>
  </si>
  <si>
    <t>09.82030</t>
  </si>
  <si>
    <t xml:space="preserve">      8.1.2.SAM "Uzlabot vispārējās izglītības iestāžu mācību vidi Ogres novadā"</t>
  </si>
  <si>
    <t>10.70015</t>
  </si>
  <si>
    <t xml:space="preserve">       ES projekts "Deinstitucionalizācija un sociālie pakalpojumi personām ar invaliditāti un bērniem"</t>
  </si>
  <si>
    <t>Kredīta atmaksa        F40322220</t>
  </si>
  <si>
    <t>Līdzekļu atlikums uz gada beigām (Kases apgrozāmie līdzekļi)  F22010020</t>
  </si>
  <si>
    <t xml:space="preserve">       Projektu konkurss RADI Ogres novadam (Kultūras, sporta un izglītības pasākumi, mācības, kursi)</t>
  </si>
  <si>
    <t xml:space="preserve">     Projekts Skolēnu autobusi (Šveice)</t>
  </si>
  <si>
    <t xml:space="preserve">Pašvaldības un tās iestāžu savstarpējie transferti </t>
  </si>
  <si>
    <t>Kapitālo izdevumu transferti</t>
  </si>
  <si>
    <t xml:space="preserve">       Norēķini ar citu pašvaldību sociālo pakalpojumu iestādēm</t>
  </si>
  <si>
    <t xml:space="preserve">   Vispārējie lauksaimniecības izdevumi</t>
  </si>
  <si>
    <t xml:space="preserve">   Novērst plūdu un krasta erozijas risku apdraudējumu Ogres pilsētas teritorijā, veicot vecā aizsargdambja pārbūvi un jauna aizsargmola (straumvirzes) būvniecību pie Ogres upes ietekas Daugavā</t>
  </si>
  <si>
    <t>01.83011</t>
  </si>
  <si>
    <t>01.83012</t>
  </si>
  <si>
    <t>01.83013</t>
  </si>
  <si>
    <t>03.2001</t>
  </si>
  <si>
    <t>Civilās aizsardzības pasākumi</t>
  </si>
  <si>
    <t>04.11102</t>
  </si>
  <si>
    <t>Projektu pieteikumu izstrāde, tehniskās dokumentācijas sagatavošana</t>
  </si>
  <si>
    <t>04.11103</t>
  </si>
  <si>
    <t>Informatīvi pasākumi uzņēmējiem</t>
  </si>
  <si>
    <t>SAM 5,6,2, Degradētās teritorijas Pārogres industriālajā parkā revitalizācija</t>
  </si>
  <si>
    <t>04.4301</t>
  </si>
  <si>
    <t>05.4001</t>
  </si>
  <si>
    <t xml:space="preserve">   Bioloģiskās daudzveidības un ainavas aizsardzība</t>
  </si>
  <si>
    <t xml:space="preserve">Mājokļu attīstība </t>
  </si>
  <si>
    <t>06.2001</t>
  </si>
  <si>
    <t>Vispārējie ūdens apgādes izdevumi</t>
  </si>
  <si>
    <t xml:space="preserve">       Projektu konkurss "Veidojam vidi ap mums Ogres novadā"</t>
  </si>
  <si>
    <t xml:space="preserve">      Nevalstisko organizāciju projektu atbalstam</t>
  </si>
  <si>
    <t>06.60012</t>
  </si>
  <si>
    <t xml:space="preserve">      Pašvaldības teritoriju labiekārtošana</t>
  </si>
  <si>
    <t>07.2101</t>
  </si>
  <si>
    <t>07.4501</t>
  </si>
  <si>
    <t xml:space="preserve">      SAM 9.2.4.2. Pasākumi vietējās sabiedrības slimību profilaksei un veselības veicināšanai</t>
  </si>
  <si>
    <t>08.2101</t>
  </si>
  <si>
    <t xml:space="preserve">    Kultūras centri - tautas nami</t>
  </si>
  <si>
    <t>08.2301</t>
  </si>
  <si>
    <t>08.2304</t>
  </si>
  <si>
    <t xml:space="preserve">    Kultūras aktivitātes / pasākumi</t>
  </si>
  <si>
    <t>08.29007</t>
  </si>
  <si>
    <t xml:space="preserve">    Papildus aktivitātes  Ogres novada pašvaldības iestādēs (vasaras nometnes)</t>
  </si>
  <si>
    <t>08.300</t>
  </si>
  <si>
    <t>Apraides un izdevniecības pakalpojumi</t>
  </si>
  <si>
    <t>Reliģisko organizāciju un citu biedrību un nodibinājumu pakalpojumi</t>
  </si>
  <si>
    <t>09.60010</t>
  </si>
  <si>
    <t>Ēdināšanas izmaksu kompensācijas</t>
  </si>
  <si>
    <t>09.60020</t>
  </si>
  <si>
    <t>Skolnieku pārvadājumi</t>
  </si>
  <si>
    <t>09.82001</t>
  </si>
  <si>
    <t>Karjeras atbalsts vispārējās un profesionālās izglītības iestādēs</t>
  </si>
  <si>
    <t>09.82039</t>
  </si>
  <si>
    <t>Atbalsts izglītojamo individuālo kompetenču attīstībai</t>
  </si>
  <si>
    <t>10.70003</t>
  </si>
  <si>
    <t>Sociālā dienesta asistentu pakalpojumi</t>
  </si>
  <si>
    <t>Jauniešu garantijas ietvaros projekta "PROTI un DARI!" īstenošana</t>
  </si>
  <si>
    <t>08.2303</t>
  </si>
  <si>
    <t xml:space="preserve">    Komunikāciju centrs Ķeipenē</t>
  </si>
  <si>
    <t>08.2204</t>
  </si>
  <si>
    <t xml:space="preserve">    Sudrabu Edžus memoriālā istabs</t>
  </si>
  <si>
    <t>Pašvald. aģentūras "Ogres komunikācijas" 2020.g. budžets</t>
  </si>
  <si>
    <t xml:space="preserve">Ogres un Ogresgala 2020.g. budžets </t>
  </si>
  <si>
    <t>Pašvald. aģentūras "Kultūras centrs" 2020.g. budžets</t>
  </si>
  <si>
    <t>Pašvald. aģentūras "Rosme" 2020.g. budžets</t>
  </si>
  <si>
    <t>Suntažu pagasta pārvaldes 2020.g. budžets</t>
  </si>
  <si>
    <t>Lauberes pagasta pārvaldes 2020.g. budžets</t>
  </si>
  <si>
    <t>Ķeipenes pagasta pārvaldes 2020.g. budžets</t>
  </si>
  <si>
    <t>Madlienas pagasta pārvaldes 2020.g. budžets</t>
  </si>
  <si>
    <t>Krapes pagasta pārvaldes 2020.g. budžets</t>
  </si>
  <si>
    <t>Mazozolu pagasta pārvaldes 2020.g. budžets</t>
  </si>
  <si>
    <t>Meņģeles pagasta pārvaldes 2020.g. budžets</t>
  </si>
  <si>
    <t>Taurupes pagasta pārvaldes 2020.g. budžets</t>
  </si>
  <si>
    <t>Ogres novada pašvaldības 2020.g. budžets</t>
  </si>
  <si>
    <t>Budžeta  atl.uz  01. 01. 2020.g.        F22010010</t>
  </si>
  <si>
    <t>Ogres novada pašvaldības 2020.gada pamatbudžeta ieņēmumi.</t>
  </si>
  <si>
    <t>Ogres novada pašvaldības 2020. gada pamatbudžeta  izdevumi atbilstoši funkcionālajām kategorijām.</t>
  </si>
  <si>
    <t>Ogres novada pašvaldības 2020. gada pamatbudžeta  izdevumi atbilstoši ekonomiskajām kategorijām.</t>
  </si>
  <si>
    <t>05.30001</t>
  </si>
  <si>
    <t>21.3.4.0.</t>
  </si>
  <si>
    <t>Procentu ieņēmumi par maksas pakalpojumiem un pašu ieguldījumiem depozītā</t>
  </si>
  <si>
    <t>Suntažu pamatskola rehabilitācijas centrs</t>
  </si>
  <si>
    <t>03.6002</t>
  </si>
  <si>
    <t>Atskurbtuves pakalpojumiem</t>
  </si>
  <si>
    <t>06.60022</t>
  </si>
  <si>
    <t>SIA Ogres namsaimnieks finansējums domes deliģēto funkciju izpildei</t>
  </si>
  <si>
    <t>04.7301</t>
  </si>
  <si>
    <t>Tūrisma informācijas centrs</t>
  </si>
  <si>
    <t>09.82002</t>
  </si>
  <si>
    <t>Atbalsts priekšlaicīgas mācību pārtraukšanas samazināšanai (Pumpurs)</t>
  </si>
  <si>
    <t>09.82003</t>
  </si>
  <si>
    <t>Latvijas Skolas Soma</t>
  </si>
  <si>
    <t>09.82004</t>
  </si>
  <si>
    <t xml:space="preserve">Erasmus + programmas projekts Nr.2018-1-FR01-KA229-047933 3 (ģimnāzija) </t>
  </si>
  <si>
    <t>09.82005</t>
  </si>
  <si>
    <t xml:space="preserve">Erasmus + programmas projekts Nr.2018-1-PT01-KA229-047540 6 (ģimnāzija) </t>
  </si>
  <si>
    <t>09.82006</t>
  </si>
  <si>
    <t>Erasmus + programmas projekts Nr.2018-1-TR01-KA229-059950 3. Angļu valodas apguve (ģimnāzija)</t>
  </si>
  <si>
    <t>09.82009</t>
  </si>
  <si>
    <t>Erasmus + programmas projekts Nr.2018-1-ES01-KA229-050191 3. Kultūra uz skatuves (ģimnāzija)</t>
  </si>
  <si>
    <t>09.82010</t>
  </si>
  <si>
    <t>Sadarbībā ar Rīgas tehnisko universitāti, Māturības un tehnoloģju mācību kabineta aprīkošanā 1. vidusskolā</t>
  </si>
  <si>
    <t>09.82011</t>
  </si>
  <si>
    <t>Erasmus+programmas projekts "ALLready a Success to School Life" (Pilnībā gatavs veiksmei skolā) Nr.2018-1-TR01-KA201-059716.Sākumsk.</t>
  </si>
  <si>
    <t>09.82045</t>
  </si>
  <si>
    <t>Ogres 1. vidusskolas ERASMUS programmas 1. pamatdarbības mobilitātes projekts "No vārdiem pie darbiem: mūsdienīgu lietpratību veicinoša skola"</t>
  </si>
  <si>
    <t>09.82046</t>
  </si>
  <si>
    <t xml:space="preserve">Erasmus + programmas projekts Nr.2018-1-EE01-KA229-047133 4 Darbīgās bites (Dzīpariņš) </t>
  </si>
  <si>
    <t>04.11116</t>
  </si>
  <si>
    <t>Ogres novadnieka karte</t>
  </si>
  <si>
    <t>04.11118</t>
  </si>
  <si>
    <t>LAD projekts Suntažu tirgus laukuma izveide</t>
  </si>
  <si>
    <t xml:space="preserve">Centrālās Baltijas jūras reģiona programmas projekts "Nordic urban planning:  holistic approach for extreme weather" (NOAH) </t>
  </si>
  <si>
    <t>04.510010</t>
  </si>
  <si>
    <t>04.51015</t>
  </si>
  <si>
    <t>Parka ielas pārbūve</t>
  </si>
  <si>
    <t>05.30002</t>
  </si>
  <si>
    <t>Siltumnīcefekta gāzu emisiju samazināšana izbūvējot Ogres Centrālo bibliotēkas ēku</t>
  </si>
  <si>
    <t>06.60004</t>
  </si>
  <si>
    <t>Dabas un bioloģiskās daudzveidības saglabāšanas un aizsardzības pasākumi īpaši aizsargājamajā dabas teritorijā "Ogres ieleja"</t>
  </si>
  <si>
    <t>06.60015</t>
  </si>
  <si>
    <t>Viedo tehnoloģiju ieviešana Ogres pilsētas apgaismojuma sistēmā</t>
  </si>
  <si>
    <t>06.60024</t>
  </si>
  <si>
    <t>Vides aizsardzības proj. "Lobes ezera apsaimniekošanas plāna izstrāde"</t>
  </si>
  <si>
    <t>07.4502</t>
  </si>
  <si>
    <t xml:space="preserve">     Veselības veicināšanas pasākumiem</t>
  </si>
  <si>
    <t>08.29008</t>
  </si>
  <si>
    <t>Kultūras mantojuma saglabāšana un attīstība Daugavas ceļā</t>
  </si>
  <si>
    <t>08.29012</t>
  </si>
  <si>
    <t>08.29022</t>
  </si>
  <si>
    <t>LAD projekts "Ogresgala Tautas nama laukuma labiekārtošana" Nr.19-04-AL02-A019.2202-000006.</t>
  </si>
  <si>
    <t>08.3101</t>
  </si>
  <si>
    <t>08.4001</t>
  </si>
  <si>
    <t>08.3301</t>
  </si>
  <si>
    <t>10.70007</t>
  </si>
  <si>
    <t>Sociālo pakalpojumu atbalsta sistēmas pilnveide</t>
  </si>
  <si>
    <t>10.70009</t>
  </si>
  <si>
    <t>Konkurss Vides pieejamības nodrošināšana invalīdiem</t>
  </si>
  <si>
    <t>10.70011</t>
  </si>
  <si>
    <t>Sociālo pakalpojumu atbalsta sistēmas pilnveide projekta (GRT) Nr.9.2.2.2/16/I/001.</t>
  </si>
  <si>
    <t>8.3.0.0.</t>
  </si>
  <si>
    <t>Īeņēmumi no dividendēm</t>
  </si>
  <si>
    <t>10.70016</t>
  </si>
  <si>
    <t>ERAF "Pakalpojumu infrastruktūras attīstība deinstitualizācijas plānu īstenošanai"</t>
  </si>
  <si>
    <t>Skolas ielas pārbūve</t>
  </si>
  <si>
    <t>04.51016</t>
  </si>
  <si>
    <t>04.51002</t>
  </si>
  <si>
    <t>04.51003</t>
  </si>
  <si>
    <t xml:space="preserve">Būvprojekts, izbūve un uzraudzība gājēju ceļa no Pārogres stacijas līdz Pārogres gatvei </t>
  </si>
  <si>
    <t>Būvprojekts, izbūve, uzraudzība Zilokalnu un Vidus prospekta krustojuma satiksmes organizācija</t>
  </si>
  <si>
    <t>04.51017</t>
  </si>
  <si>
    <t>Birzgales ielas pārbūve</t>
  </si>
  <si>
    <t>04.51018</t>
  </si>
  <si>
    <t>Iekārtā (gājēju) tilta pār Ogres upi teritorijā starp J.Čakstes pr. Un Ogres ielu Ogrē, būvniecība</t>
  </si>
  <si>
    <t>06.60025</t>
  </si>
  <si>
    <t>06.60026</t>
  </si>
  <si>
    <t>06.60027</t>
  </si>
  <si>
    <t>06.60028</t>
  </si>
  <si>
    <t>Ogres bijušās sanatorijas ieejas vestibils</t>
  </si>
  <si>
    <t>Sūkņu stacijas projektēšana</t>
  </si>
  <si>
    <t>Jauniešu mājas būvprojekta izstrāde</t>
  </si>
  <si>
    <t>Energoefektivitātes pasākumi</t>
  </si>
  <si>
    <t>Zaļā tūrisma ceļu attīstība Latvijas un Krievijas pierobežas reģionā ” Greenways (Zaļais ceļš Rīga – Pleskava)LV-RU-006</t>
  </si>
  <si>
    <t>Dabas parka “Ogres Zilie kalni” – dabas pētniecības un rotaļu centrs</t>
  </si>
  <si>
    <t>5.4.1.0.</t>
  </si>
  <si>
    <t>Azartspēļu nodoklis</t>
  </si>
  <si>
    <t>8.9.0.0.</t>
  </si>
  <si>
    <t>Pārējie finanšu ieņēmumi</t>
  </si>
  <si>
    <t>12.0.0.0.</t>
  </si>
  <si>
    <t>23.01.2020. Saistošajiem noteikumiem Nr.1/2020</t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</si>
</sst>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6" formatCode="0.0"/>
    <numFmt numFmtId="187" formatCode="0.0000"/>
    <numFmt numFmtId="188" formatCode="0.000"/>
    <numFmt numFmtId="189" formatCode="0.0%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"/>
    <numFmt numFmtId="205" formatCode="_-* #,##0.0_-;\-* #,##0.0_-;_-* &quot;-&quot;??_-;_-@_-"/>
    <numFmt numFmtId="206" formatCode="_-* #,##0_-;\-* #,##0_-;_-* &quot;-&quot;??_-;_-@_-"/>
    <numFmt numFmtId="207" formatCode="_-&quot;Ls&quot;\ * #,##0.0_-;\-&quot;Ls&quot;\ * #,##0.0_-;_-&quot;Ls&quot;\ * &quot;-&quot;??_-;_-@_-"/>
    <numFmt numFmtId="208" formatCode="_-&quot;Ls&quot;\ * #,##0_-;\-&quot;Ls&quot;\ * #,##0_-;_-&quot;Ls&quot;\ * &quot;-&quot;??_-;_-@_-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0."/>
    <numFmt numFmtId="213" formatCode="000000"/>
    <numFmt numFmtId="214" formatCode="dd/mm/yy"/>
    <numFmt numFmtId="215" formatCode="[$€-2]\ #,##0.00_);[Red]\([$€-2]\ #,##0.00\)"/>
    <numFmt numFmtId="216" formatCode="#,##0.000"/>
    <numFmt numFmtId="217" formatCode="&quot;Jā&quot;;&quot;Jā&quot;;&quot;Nē&quot;"/>
    <numFmt numFmtId="218" formatCode="&quot;Patiess&quot;;&quot;Patiess&quot;;&quot;Aplams&quot;"/>
    <numFmt numFmtId="219" formatCode="&quot;Ieslēgts&quot;;&quot;Ieslēgts&quot;;&quot;Izslēgts&quot;"/>
    <numFmt numFmtId="220" formatCode="[$€-2]\ #\ ##,000_);[Red]\([$€-2]\ #\ ##,000\)"/>
  </numFmts>
  <fonts count="3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79">
    <xf numFmtId="0" fontId="0" fillId="0" borderId="0" xfId="0" applyAlignment="1">
      <alignment/>
    </xf>
    <xf numFmtId="0" fontId="22" fillId="0" borderId="0" xfId="0" applyFont="1" applyFill="1" applyAlignment="1">
      <alignment/>
    </xf>
    <xf numFmtId="3" fontId="22" fillId="0" borderId="0" xfId="0" applyNumberFormat="1" applyFont="1" applyFill="1" applyAlignment="1">
      <alignment wrapText="1"/>
    </xf>
    <xf numFmtId="1" fontId="22" fillId="0" borderId="0" xfId="0" applyNumberFormat="1" applyFont="1" applyFill="1" applyAlignment="1">
      <alignment/>
    </xf>
    <xf numFmtId="0" fontId="22" fillId="0" borderId="0" xfId="62" applyFont="1" applyFill="1" applyAlignment="1">
      <alignment horizontal="left"/>
      <protection/>
    </xf>
    <xf numFmtId="0" fontId="24" fillId="0" borderId="0" xfId="0" applyFont="1" applyFill="1" applyAlignment="1">
      <alignment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>
      <alignment horizontal="left" wrapText="1"/>
    </xf>
    <xf numFmtId="0" fontId="22" fillId="0" borderId="0" xfId="0" applyFont="1" applyFill="1" applyBorder="1" applyAlignment="1">
      <alignment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 applyProtection="1">
      <alignment horizontal="center" vertical="center" wrapText="1"/>
      <protection/>
    </xf>
    <xf numFmtId="0" fontId="22" fillId="0" borderId="11" xfId="0" applyFont="1" applyFill="1" applyBorder="1" applyAlignment="1" applyProtection="1">
      <alignment horizontal="center" vertical="center" wrapText="1"/>
      <protection/>
    </xf>
    <xf numFmtId="0" fontId="22" fillId="0" borderId="11" xfId="61" applyFont="1" applyFill="1" applyBorder="1" applyAlignment="1">
      <alignment vertical="center" wrapText="1"/>
      <protection/>
    </xf>
    <xf numFmtId="0" fontId="24" fillId="0" borderId="12" xfId="57" applyFont="1" applyFill="1" applyBorder="1" applyAlignment="1" applyProtection="1">
      <alignment horizontal="center" vertical="center" wrapText="1"/>
      <protection/>
    </xf>
    <xf numFmtId="3" fontId="24" fillId="0" borderId="12" xfId="0" applyNumberFormat="1" applyFont="1" applyFill="1" applyBorder="1" applyAlignment="1">
      <alignment/>
    </xf>
    <xf numFmtId="3" fontId="22" fillId="0" borderId="13" xfId="0" applyNumberFormat="1" applyFont="1" applyFill="1" applyBorder="1" applyAlignment="1">
      <alignment/>
    </xf>
    <xf numFmtId="3" fontId="22" fillId="0" borderId="14" xfId="0" applyNumberFormat="1" applyFont="1" applyFill="1" applyBorder="1" applyAlignment="1">
      <alignment/>
    </xf>
    <xf numFmtId="3" fontId="22" fillId="0" borderId="15" xfId="0" applyNumberFormat="1" applyFont="1" applyFill="1" applyBorder="1" applyAlignment="1">
      <alignment/>
    </xf>
    <xf numFmtId="3" fontId="22" fillId="0" borderId="16" xfId="0" applyNumberFormat="1" applyFont="1" applyFill="1" applyBorder="1" applyAlignment="1">
      <alignment/>
    </xf>
    <xf numFmtId="3" fontId="24" fillId="0" borderId="0" xfId="0" applyNumberFormat="1" applyFont="1" applyFill="1" applyBorder="1" applyAlignment="1" applyProtection="1">
      <alignment horizontal="center"/>
      <protection/>
    </xf>
    <xf numFmtId="3" fontId="24" fillId="0" borderId="0" xfId="0" applyNumberFormat="1" applyFont="1" applyFill="1" applyBorder="1" applyAlignment="1" applyProtection="1">
      <alignment/>
      <protection/>
    </xf>
    <xf numFmtId="0" fontId="22" fillId="0" borderId="0" xfId="0" applyFont="1" applyFill="1" applyAlignment="1">
      <alignment wrapText="1"/>
    </xf>
    <xf numFmtId="3" fontId="24" fillId="0" borderId="0" xfId="0" applyNumberFormat="1" applyFont="1" applyFill="1" applyBorder="1" applyAlignment="1">
      <alignment wrapText="1"/>
    </xf>
    <xf numFmtId="186" fontId="22" fillId="0" borderId="0" xfId="0" applyNumberFormat="1" applyFont="1" applyFill="1" applyAlignment="1">
      <alignment/>
    </xf>
    <xf numFmtId="3" fontId="24" fillId="0" borderId="17" xfId="0" applyNumberFormat="1" applyFont="1" applyFill="1" applyBorder="1" applyAlignment="1">
      <alignment/>
    </xf>
    <xf numFmtId="3" fontId="24" fillId="0" borderId="18" xfId="0" applyNumberFormat="1" applyFont="1" applyFill="1" applyBorder="1" applyAlignment="1">
      <alignment/>
    </xf>
    <xf numFmtId="186" fontId="24" fillId="0" borderId="0" xfId="0" applyNumberFormat="1" applyFont="1" applyFill="1" applyAlignment="1">
      <alignment/>
    </xf>
    <xf numFmtId="3" fontId="24" fillId="0" borderId="0" xfId="0" applyNumberFormat="1" applyFont="1" applyFill="1" applyAlignment="1">
      <alignment/>
    </xf>
    <xf numFmtId="3" fontId="24" fillId="0" borderId="0" xfId="0" applyNumberFormat="1" applyFont="1" applyFill="1" applyBorder="1" applyAlignment="1">
      <alignment/>
    </xf>
    <xf numFmtId="3" fontId="22" fillId="0" borderId="0" xfId="0" applyNumberFormat="1" applyFont="1" applyFill="1" applyAlignment="1">
      <alignment/>
    </xf>
    <xf numFmtId="3" fontId="22" fillId="0" borderId="0" xfId="0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/>
    </xf>
    <xf numFmtId="3" fontId="28" fillId="0" borderId="0" xfId="0" applyNumberFormat="1" applyFont="1" applyFill="1" applyAlignment="1">
      <alignment/>
    </xf>
    <xf numFmtId="3" fontId="26" fillId="0" borderId="0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 horizontal="right" wrapText="1"/>
    </xf>
    <xf numFmtId="3" fontId="22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9" xfId="60" applyFont="1" applyFill="1" applyBorder="1" applyAlignment="1">
      <alignment horizontal="center" vertical="center" wrapText="1"/>
      <protection/>
    </xf>
    <xf numFmtId="3" fontId="22" fillId="0" borderId="13" xfId="0" applyNumberFormat="1" applyFont="1" applyFill="1" applyBorder="1" applyAlignment="1">
      <alignment wrapText="1"/>
    </xf>
    <xf numFmtId="3" fontId="22" fillId="0" borderId="20" xfId="0" applyNumberFormat="1" applyFont="1" applyFill="1" applyBorder="1" applyAlignment="1">
      <alignment/>
    </xf>
    <xf numFmtId="3" fontId="24" fillId="0" borderId="21" xfId="0" applyNumberFormat="1" applyFont="1" applyFill="1" applyBorder="1" applyAlignment="1">
      <alignment horizontal="left"/>
    </xf>
    <xf numFmtId="3" fontId="22" fillId="0" borderId="22" xfId="0" applyNumberFormat="1" applyFont="1" applyFill="1" applyBorder="1" applyAlignment="1">
      <alignment wrapText="1"/>
    </xf>
    <xf numFmtId="3" fontId="24" fillId="0" borderId="23" xfId="0" applyNumberFormat="1" applyFont="1" applyFill="1" applyBorder="1" applyAlignment="1">
      <alignment horizontal="left"/>
    </xf>
    <xf numFmtId="3" fontId="22" fillId="0" borderId="0" xfId="0" applyNumberFormat="1" applyFont="1" applyFill="1" applyBorder="1" applyAlignment="1" applyProtection="1">
      <alignment horizontal="left" wrapText="1"/>
      <protection/>
    </xf>
    <xf numFmtId="3" fontId="27" fillId="0" borderId="0" xfId="0" applyNumberFormat="1" applyFont="1" applyFill="1" applyAlignment="1">
      <alignment/>
    </xf>
    <xf numFmtId="3" fontId="22" fillId="0" borderId="0" xfId="62" applyNumberFormat="1" applyFont="1" applyFill="1" applyAlignment="1">
      <alignment horizontal="right"/>
      <protection/>
    </xf>
    <xf numFmtId="3" fontId="22" fillId="0" borderId="0" xfId="62" applyNumberFormat="1" applyFont="1" applyFill="1" applyAlignment="1">
      <alignment horizontal="left"/>
      <protection/>
    </xf>
    <xf numFmtId="3" fontId="22" fillId="0" borderId="0" xfId="0" applyNumberFormat="1" applyFont="1" applyFill="1" applyAlignment="1">
      <alignment horizontal="left"/>
    </xf>
    <xf numFmtId="3" fontId="24" fillId="0" borderId="0" xfId="0" applyNumberFormat="1" applyFont="1" applyFill="1" applyBorder="1" applyAlignment="1">
      <alignment horizontal="right"/>
    </xf>
    <xf numFmtId="3" fontId="21" fillId="0" borderId="10" xfId="0" applyNumberFormat="1" applyFont="1" applyFill="1" applyBorder="1" applyAlignment="1">
      <alignment horizontal="center" vertical="center"/>
    </xf>
    <xf numFmtId="3" fontId="21" fillId="0" borderId="11" xfId="0" applyNumberFormat="1" applyFont="1" applyFill="1" applyBorder="1" applyAlignment="1" applyProtection="1">
      <alignment horizontal="center" vertical="center" wrapText="1"/>
      <protection/>
    </xf>
    <xf numFmtId="3" fontId="22" fillId="0" borderId="19" xfId="60" applyNumberFormat="1" applyFont="1" applyFill="1" applyBorder="1" applyAlignment="1">
      <alignment horizontal="center" vertical="center" wrapText="1"/>
      <protection/>
    </xf>
    <xf numFmtId="3" fontId="22" fillId="0" borderId="11" xfId="61" applyNumberFormat="1" applyFont="1" applyFill="1" applyBorder="1" applyAlignment="1">
      <alignment vertical="center" wrapText="1"/>
      <protection/>
    </xf>
    <xf numFmtId="3" fontId="22" fillId="0" borderId="24" xfId="61" applyNumberFormat="1" applyFont="1" applyFill="1" applyBorder="1" applyAlignment="1">
      <alignment vertical="center" wrapText="1"/>
      <protection/>
    </xf>
    <xf numFmtId="3" fontId="24" fillId="0" borderId="12" xfId="57" applyNumberFormat="1" applyFont="1" applyFill="1" applyBorder="1" applyAlignment="1" applyProtection="1">
      <alignment horizontal="center" vertical="center" wrapText="1"/>
      <protection/>
    </xf>
    <xf numFmtId="3" fontId="22" fillId="24" borderId="13" xfId="0" applyNumberFormat="1" applyFont="1" applyFill="1" applyBorder="1" applyAlignment="1">
      <alignment/>
    </xf>
    <xf numFmtId="3" fontId="22" fillId="0" borderId="10" xfId="0" applyNumberFormat="1" applyFont="1" applyFill="1" applyBorder="1" applyAlignment="1">
      <alignment/>
    </xf>
    <xf numFmtId="3" fontId="22" fillId="0" borderId="0" xfId="0" applyNumberFormat="1" applyFont="1" applyFill="1" applyBorder="1" applyAlignment="1" applyProtection="1">
      <alignment/>
      <protection/>
    </xf>
    <xf numFmtId="3" fontId="22" fillId="0" borderId="0" xfId="0" applyNumberFormat="1" applyFont="1" applyFill="1" applyBorder="1" applyAlignment="1">
      <alignment wrapText="1"/>
    </xf>
    <xf numFmtId="3" fontId="22" fillId="0" borderId="0" xfId="0" applyNumberFormat="1" applyFont="1" applyFill="1" applyAlignment="1">
      <alignment horizontal="center" wrapText="1"/>
    </xf>
    <xf numFmtId="3" fontId="22" fillId="0" borderId="0" xfId="57" applyNumberFormat="1" applyFont="1" applyFill="1" applyBorder="1" applyAlignment="1">
      <alignment horizontal="left" wrapText="1"/>
      <protection/>
    </xf>
    <xf numFmtId="3" fontId="27" fillId="0" borderId="0" xfId="0" applyNumberFormat="1" applyFont="1" applyFill="1" applyBorder="1" applyAlignment="1">
      <alignment horizontal="right" wrapText="1"/>
    </xf>
    <xf numFmtId="3" fontId="24" fillId="0" borderId="25" xfId="0" applyNumberFormat="1" applyFont="1" applyFill="1" applyBorder="1" applyAlignment="1">
      <alignment horizontal="left"/>
    </xf>
    <xf numFmtId="3" fontId="22" fillId="0" borderId="22" xfId="0" applyNumberFormat="1" applyFont="1" applyFill="1" applyBorder="1" applyAlignment="1">
      <alignment/>
    </xf>
    <xf numFmtId="3" fontId="26" fillId="0" borderId="26" xfId="0" applyNumberFormat="1" applyFont="1" applyFill="1" applyBorder="1" applyAlignment="1">
      <alignment/>
    </xf>
    <xf numFmtId="3" fontId="22" fillId="0" borderId="27" xfId="0" applyNumberFormat="1" applyFont="1" applyFill="1" applyBorder="1" applyAlignment="1">
      <alignment/>
    </xf>
    <xf numFmtId="3" fontId="26" fillId="0" borderId="14" xfId="0" applyNumberFormat="1" applyFont="1" applyFill="1" applyBorder="1" applyAlignment="1">
      <alignment/>
    </xf>
    <xf numFmtId="3" fontId="22" fillId="0" borderId="28" xfId="0" applyNumberFormat="1" applyFont="1" applyFill="1" applyBorder="1" applyAlignment="1">
      <alignment wrapText="1"/>
    </xf>
    <xf numFmtId="3" fontId="26" fillId="0" borderId="15" xfId="0" applyNumberFormat="1" applyFont="1" applyFill="1" applyBorder="1" applyAlignment="1">
      <alignment/>
    </xf>
    <xf numFmtId="3" fontId="24" fillId="0" borderId="24" xfId="0" applyNumberFormat="1" applyFont="1" applyFill="1" applyBorder="1" applyAlignment="1">
      <alignment horizontal="right"/>
    </xf>
    <xf numFmtId="3" fontId="24" fillId="0" borderId="29" xfId="0" applyNumberFormat="1" applyFont="1" applyFill="1" applyBorder="1" applyAlignment="1">
      <alignment/>
    </xf>
    <xf numFmtId="3" fontId="22" fillId="25" borderId="30" xfId="0" applyNumberFormat="1" applyFont="1" applyFill="1" applyBorder="1" applyAlignment="1">
      <alignment/>
    </xf>
    <xf numFmtId="3" fontId="22" fillId="25" borderId="31" xfId="0" applyNumberFormat="1" applyFont="1" applyFill="1" applyBorder="1" applyAlignment="1">
      <alignment/>
    </xf>
    <xf numFmtId="3" fontId="22" fillId="25" borderId="32" xfId="0" applyNumberFormat="1" applyFont="1" applyFill="1" applyBorder="1" applyAlignment="1">
      <alignment/>
    </xf>
    <xf numFmtId="3" fontId="22" fillId="25" borderId="33" xfId="0" applyNumberFormat="1" applyFont="1" applyFill="1" applyBorder="1" applyAlignment="1">
      <alignment/>
    </xf>
    <xf numFmtId="3" fontId="22" fillId="25" borderId="14" xfId="0" applyNumberFormat="1" applyFont="1" applyFill="1" applyBorder="1" applyAlignment="1">
      <alignment/>
    </xf>
    <xf numFmtId="3" fontId="22" fillId="25" borderId="22" xfId="0" applyNumberFormat="1" applyFont="1" applyFill="1" applyBorder="1" applyAlignment="1">
      <alignment/>
    </xf>
    <xf numFmtId="3" fontId="22" fillId="25" borderId="13" xfId="0" applyNumberFormat="1" applyFont="1" applyFill="1" applyBorder="1" applyAlignment="1">
      <alignment/>
    </xf>
    <xf numFmtId="0" fontId="22" fillId="0" borderId="24" xfId="61" applyFont="1" applyFill="1" applyBorder="1" applyAlignment="1">
      <alignment vertical="center" wrapText="1"/>
      <protection/>
    </xf>
    <xf numFmtId="3" fontId="22" fillId="25" borderId="13" xfId="0" applyNumberFormat="1" applyFont="1" applyFill="1" applyBorder="1" applyAlignment="1" applyProtection="1">
      <alignment horizontal="center"/>
      <protection/>
    </xf>
    <xf numFmtId="3" fontId="24" fillId="25" borderId="31" xfId="0" applyNumberFormat="1" applyFont="1" applyFill="1" applyBorder="1" applyAlignment="1">
      <alignment/>
    </xf>
    <xf numFmtId="0" fontId="22" fillId="0" borderId="0" xfId="0" applyFont="1" applyFill="1" applyAlignment="1">
      <alignment horizontal="right"/>
    </xf>
    <xf numFmtId="3" fontId="22" fillId="0" borderId="0" xfId="0" applyNumberFormat="1" applyFont="1" applyFill="1" applyAlignment="1">
      <alignment horizontal="right"/>
    </xf>
    <xf numFmtId="3" fontId="22" fillId="25" borderId="34" xfId="0" applyNumberFormat="1" applyFont="1" applyFill="1" applyBorder="1" applyAlignment="1">
      <alignment/>
    </xf>
    <xf numFmtId="3" fontId="24" fillId="25" borderId="10" xfId="0" applyNumberFormat="1" applyFont="1" applyFill="1" applyBorder="1" applyAlignment="1">
      <alignment horizontal="right"/>
    </xf>
    <xf numFmtId="3" fontId="24" fillId="25" borderId="11" xfId="0" applyNumberFormat="1" applyFont="1" applyFill="1" applyBorder="1" applyAlignment="1">
      <alignment wrapText="1"/>
    </xf>
    <xf numFmtId="3" fontId="24" fillId="25" borderId="11" xfId="0" applyNumberFormat="1" applyFont="1" applyFill="1" applyBorder="1" applyAlignment="1">
      <alignment/>
    </xf>
    <xf numFmtId="3" fontId="24" fillId="25" borderId="24" xfId="0" applyNumberFormat="1" applyFont="1" applyFill="1" applyBorder="1" applyAlignment="1">
      <alignment/>
    </xf>
    <xf numFmtId="3" fontId="24" fillId="25" borderId="12" xfId="0" applyNumberFormat="1" applyFont="1" applyFill="1" applyBorder="1" applyAlignment="1">
      <alignment/>
    </xf>
    <xf numFmtId="3" fontId="22" fillId="25" borderId="35" xfId="0" applyNumberFormat="1" applyFont="1" applyFill="1" applyBorder="1" applyAlignment="1">
      <alignment horizontal="left"/>
    </xf>
    <xf numFmtId="3" fontId="22" fillId="25" borderId="36" xfId="0" applyNumberFormat="1" applyFont="1" applyFill="1" applyBorder="1" applyAlignment="1">
      <alignment wrapText="1"/>
    </xf>
    <xf numFmtId="3" fontId="22" fillId="25" borderId="36" xfId="0" applyNumberFormat="1" applyFont="1" applyFill="1" applyBorder="1" applyAlignment="1">
      <alignment/>
    </xf>
    <xf numFmtId="3" fontId="24" fillId="25" borderId="37" xfId="0" applyNumberFormat="1" applyFont="1" applyFill="1" applyBorder="1" applyAlignment="1">
      <alignment/>
    </xf>
    <xf numFmtId="3" fontId="22" fillId="25" borderId="23" xfId="0" applyNumberFormat="1" applyFont="1" applyFill="1" applyBorder="1" applyAlignment="1">
      <alignment horizontal="right"/>
    </xf>
    <xf numFmtId="3" fontId="22" fillId="25" borderId="13" xfId="0" applyNumberFormat="1" applyFont="1" applyFill="1" applyBorder="1" applyAlignment="1">
      <alignment wrapText="1"/>
    </xf>
    <xf numFmtId="3" fontId="22" fillId="25" borderId="23" xfId="0" applyNumberFormat="1" applyFont="1" applyFill="1" applyBorder="1" applyAlignment="1">
      <alignment horizontal="left"/>
    </xf>
    <xf numFmtId="3" fontId="22" fillId="25" borderId="38" xfId="0" applyNumberFormat="1" applyFont="1" applyFill="1" applyBorder="1" applyAlignment="1">
      <alignment/>
    </xf>
    <xf numFmtId="3" fontId="26" fillId="25" borderId="13" xfId="0" applyNumberFormat="1" applyFont="1" applyFill="1" applyBorder="1" applyAlignment="1">
      <alignment/>
    </xf>
    <xf numFmtId="3" fontId="22" fillId="25" borderId="20" xfId="0" applyNumberFormat="1" applyFont="1" applyFill="1" applyBorder="1" applyAlignment="1">
      <alignment/>
    </xf>
    <xf numFmtId="0" fontId="22" fillId="25" borderId="39" xfId="0" applyFont="1" applyFill="1" applyBorder="1" applyAlignment="1">
      <alignment horizontal="left"/>
    </xf>
    <xf numFmtId="0" fontId="22" fillId="25" borderId="30" xfId="0" applyFont="1" applyFill="1" applyBorder="1" applyAlignment="1">
      <alignment wrapText="1"/>
    </xf>
    <xf numFmtId="3" fontId="22" fillId="25" borderId="40" xfId="0" applyNumberFormat="1" applyFont="1" applyFill="1" applyBorder="1" applyAlignment="1">
      <alignment/>
    </xf>
    <xf numFmtId="3" fontId="26" fillId="25" borderId="30" xfId="0" applyNumberFormat="1" applyFont="1" applyFill="1" applyBorder="1" applyAlignment="1">
      <alignment/>
    </xf>
    <xf numFmtId="3" fontId="24" fillId="25" borderId="41" xfId="0" applyNumberFormat="1" applyFont="1" applyFill="1" applyBorder="1" applyAlignment="1">
      <alignment/>
    </xf>
    <xf numFmtId="3" fontId="22" fillId="25" borderId="39" xfId="0" applyNumberFormat="1" applyFont="1" applyFill="1" applyBorder="1" applyAlignment="1">
      <alignment horizontal="left"/>
    </xf>
    <xf numFmtId="3" fontId="22" fillId="25" borderId="30" xfId="0" applyNumberFormat="1" applyFont="1" applyFill="1" applyBorder="1" applyAlignment="1">
      <alignment wrapText="1"/>
    </xf>
    <xf numFmtId="3" fontId="22" fillId="25" borderId="42" xfId="0" applyNumberFormat="1" applyFont="1" applyFill="1" applyBorder="1" applyAlignment="1">
      <alignment/>
    </xf>
    <xf numFmtId="0" fontId="22" fillId="25" borderId="35" xfId="0" applyFont="1" applyFill="1" applyBorder="1" applyAlignment="1">
      <alignment horizontal="left"/>
    </xf>
    <xf numFmtId="0" fontId="24" fillId="25" borderId="22" xfId="0" applyFont="1" applyFill="1" applyBorder="1" applyAlignment="1">
      <alignment wrapText="1"/>
    </xf>
    <xf numFmtId="3" fontId="24" fillId="25" borderId="22" xfId="0" applyNumberFormat="1" applyFont="1" applyFill="1" applyBorder="1" applyAlignment="1">
      <alignment/>
    </xf>
    <xf numFmtId="3" fontId="24" fillId="25" borderId="43" xfId="0" applyNumberFormat="1" applyFont="1" applyFill="1" applyBorder="1" applyAlignment="1">
      <alignment/>
    </xf>
    <xf numFmtId="3" fontId="22" fillId="25" borderId="44" xfId="0" applyNumberFormat="1" applyFont="1" applyFill="1" applyBorder="1" applyAlignment="1">
      <alignment/>
    </xf>
    <xf numFmtId="3" fontId="22" fillId="25" borderId="45" xfId="0" applyNumberFormat="1" applyFont="1" applyFill="1" applyBorder="1" applyAlignment="1">
      <alignment/>
    </xf>
    <xf numFmtId="3" fontId="24" fillId="25" borderId="21" xfId="0" applyNumberFormat="1" applyFont="1" applyFill="1" applyBorder="1" applyAlignment="1">
      <alignment horizontal="left"/>
    </xf>
    <xf numFmtId="3" fontId="24" fillId="25" borderId="0" xfId="0" applyNumberFormat="1" applyFont="1" applyFill="1" applyBorder="1" applyAlignment="1">
      <alignment wrapText="1"/>
    </xf>
    <xf numFmtId="3" fontId="22" fillId="25" borderId="46" xfId="0" applyNumberFormat="1" applyFont="1" applyFill="1" applyBorder="1" applyAlignment="1">
      <alignment/>
    </xf>
    <xf numFmtId="3" fontId="24" fillId="25" borderId="10" xfId="0" applyNumberFormat="1" applyFont="1" applyFill="1" applyBorder="1" applyAlignment="1">
      <alignment horizontal="left"/>
    </xf>
    <xf numFmtId="3" fontId="22" fillId="25" borderId="25" xfId="0" applyNumberFormat="1" applyFont="1" applyFill="1" applyBorder="1" applyAlignment="1">
      <alignment horizontal="left"/>
    </xf>
    <xf numFmtId="3" fontId="22" fillId="25" borderId="22" xfId="0" applyNumberFormat="1" applyFont="1" applyFill="1" applyBorder="1" applyAlignment="1">
      <alignment wrapText="1"/>
    </xf>
    <xf numFmtId="3" fontId="22" fillId="25" borderId="15" xfId="0" applyNumberFormat="1" applyFont="1" applyFill="1" applyBorder="1" applyAlignment="1">
      <alignment/>
    </xf>
    <xf numFmtId="3" fontId="22" fillId="25" borderId="28" xfId="0" applyNumberFormat="1" applyFont="1" applyFill="1" applyBorder="1" applyAlignment="1">
      <alignment/>
    </xf>
    <xf numFmtId="3" fontId="22" fillId="25" borderId="16" xfId="0" applyNumberFormat="1" applyFont="1" applyFill="1" applyBorder="1" applyAlignment="1">
      <alignment/>
    </xf>
    <xf numFmtId="3" fontId="22" fillId="25" borderId="35" xfId="0" applyNumberFormat="1" applyFont="1" applyFill="1" applyBorder="1" applyAlignment="1">
      <alignment horizontal="right"/>
    </xf>
    <xf numFmtId="3" fontId="23" fillId="25" borderId="0" xfId="0" applyNumberFormat="1" applyFont="1" applyFill="1" applyAlignment="1">
      <alignment wrapText="1"/>
    </xf>
    <xf numFmtId="3" fontId="24" fillId="25" borderId="36" xfId="0" applyNumberFormat="1" applyFont="1" applyFill="1" applyBorder="1" applyAlignment="1">
      <alignment/>
    </xf>
    <xf numFmtId="3" fontId="24" fillId="25" borderId="23" xfId="0" applyNumberFormat="1" applyFont="1" applyFill="1" applyBorder="1" applyAlignment="1">
      <alignment horizontal="left"/>
    </xf>
    <xf numFmtId="3" fontId="24" fillId="25" borderId="13" xfId="0" applyNumberFormat="1" applyFont="1" applyFill="1" applyBorder="1" applyAlignment="1">
      <alignment wrapText="1"/>
    </xf>
    <xf numFmtId="3" fontId="24" fillId="25" borderId="38" xfId="0" applyNumberFormat="1" applyFont="1" applyFill="1" applyBorder="1" applyAlignment="1">
      <alignment/>
    </xf>
    <xf numFmtId="3" fontId="24" fillId="25" borderId="13" xfId="0" applyNumberFormat="1" applyFont="1" applyFill="1" applyBorder="1" applyAlignment="1">
      <alignment/>
    </xf>
    <xf numFmtId="3" fontId="24" fillId="25" borderId="14" xfId="0" applyNumberFormat="1" applyFont="1" applyFill="1" applyBorder="1" applyAlignment="1">
      <alignment/>
    </xf>
    <xf numFmtId="3" fontId="22" fillId="25" borderId="47" xfId="0" applyNumberFormat="1" applyFont="1" applyFill="1" applyBorder="1" applyAlignment="1">
      <alignment/>
    </xf>
    <xf numFmtId="3" fontId="26" fillId="25" borderId="14" xfId="0" applyNumberFormat="1" applyFont="1" applyFill="1" applyBorder="1" applyAlignment="1">
      <alignment/>
    </xf>
    <xf numFmtId="3" fontId="26" fillId="25" borderId="46" xfId="0" applyNumberFormat="1" applyFont="1" applyFill="1" applyBorder="1" applyAlignment="1">
      <alignment/>
    </xf>
    <xf numFmtId="3" fontId="22" fillId="25" borderId="48" xfId="0" applyNumberFormat="1" applyFont="1" applyFill="1" applyBorder="1" applyAlignment="1">
      <alignment/>
    </xf>
    <xf numFmtId="3" fontId="22" fillId="25" borderId="10" xfId="0" applyNumberFormat="1" applyFont="1" applyFill="1" applyBorder="1" applyAlignment="1">
      <alignment horizontal="right"/>
    </xf>
    <xf numFmtId="3" fontId="24" fillId="25" borderId="11" xfId="0" applyNumberFormat="1" applyFont="1" applyFill="1" applyBorder="1" applyAlignment="1">
      <alignment horizontal="right" wrapText="1"/>
    </xf>
    <xf numFmtId="3" fontId="24" fillId="25" borderId="11" xfId="0" applyNumberFormat="1" applyFont="1" applyFill="1" applyBorder="1" applyAlignment="1">
      <alignment horizontal="center"/>
    </xf>
    <xf numFmtId="3" fontId="24" fillId="25" borderId="24" xfId="0" applyNumberFormat="1" applyFont="1" applyFill="1" applyBorder="1" applyAlignment="1">
      <alignment horizontal="center"/>
    </xf>
    <xf numFmtId="3" fontId="22" fillId="25" borderId="36" xfId="0" applyNumberFormat="1" applyFont="1" applyFill="1" applyBorder="1" applyAlignment="1" applyProtection="1">
      <alignment/>
      <protection/>
    </xf>
    <xf numFmtId="3" fontId="22" fillId="25" borderId="36" xfId="0" applyNumberFormat="1" applyFont="1" applyFill="1" applyBorder="1" applyAlignment="1" applyProtection="1">
      <alignment horizontal="left" wrapText="1"/>
      <protection/>
    </xf>
    <xf numFmtId="3" fontId="24" fillId="25" borderId="13" xfId="0" applyNumberFormat="1" applyFont="1" applyFill="1" applyBorder="1" applyAlignment="1" applyProtection="1">
      <alignment/>
      <protection/>
    </xf>
    <xf numFmtId="3" fontId="24" fillId="25" borderId="13" xfId="0" applyNumberFormat="1" applyFont="1" applyFill="1" applyBorder="1" applyAlignment="1" applyProtection="1">
      <alignment horizontal="left" wrapText="1"/>
      <protection/>
    </xf>
    <xf numFmtId="3" fontId="24" fillId="25" borderId="13" xfId="0" applyNumberFormat="1" applyFont="1" applyFill="1" applyBorder="1" applyAlignment="1" applyProtection="1">
      <alignment horizontal="center"/>
      <protection/>
    </xf>
    <xf numFmtId="3" fontId="24" fillId="25" borderId="31" xfId="0" applyNumberFormat="1" applyFont="1" applyFill="1" applyBorder="1" applyAlignment="1" applyProtection="1">
      <alignment/>
      <protection/>
    </xf>
    <xf numFmtId="3" fontId="22" fillId="25" borderId="13" xfId="0" applyNumberFormat="1" applyFont="1" applyFill="1" applyBorder="1" applyAlignment="1" applyProtection="1">
      <alignment/>
      <protection/>
    </xf>
    <xf numFmtId="3" fontId="22" fillId="25" borderId="13" xfId="0" applyNumberFormat="1" applyFont="1" applyFill="1" applyBorder="1" applyAlignment="1" applyProtection="1">
      <alignment horizontal="left" wrapText="1"/>
      <protection/>
    </xf>
    <xf numFmtId="3" fontId="22" fillId="25" borderId="0" xfId="0" applyNumberFormat="1" applyFont="1" applyFill="1" applyAlignment="1">
      <alignment/>
    </xf>
    <xf numFmtId="3" fontId="22" fillId="25" borderId="13" xfId="0" applyNumberFormat="1" applyFont="1" applyFill="1" applyBorder="1" applyAlignment="1">
      <alignment horizontal="left" wrapText="1"/>
    </xf>
    <xf numFmtId="3" fontId="21" fillId="25" borderId="10" xfId="0" applyNumberFormat="1" applyFont="1" applyFill="1" applyBorder="1" applyAlignment="1">
      <alignment horizontal="center" vertical="center"/>
    </xf>
    <xf numFmtId="3" fontId="21" fillId="25" borderId="11" xfId="0" applyNumberFormat="1" applyFont="1" applyFill="1" applyBorder="1" applyAlignment="1" applyProtection="1">
      <alignment horizontal="center" vertical="center" wrapText="1"/>
      <protection/>
    </xf>
    <xf numFmtId="3" fontId="22" fillId="25" borderId="11" xfId="0" applyNumberFormat="1" applyFont="1" applyFill="1" applyBorder="1" applyAlignment="1" applyProtection="1">
      <alignment horizontal="center" vertical="center" wrapText="1"/>
      <protection/>
    </xf>
    <xf numFmtId="3" fontId="22" fillId="25" borderId="19" xfId="60" applyNumberFormat="1" applyFont="1" applyFill="1" applyBorder="1" applyAlignment="1">
      <alignment horizontal="center" vertical="center" wrapText="1"/>
      <protection/>
    </xf>
    <xf numFmtId="3" fontId="22" fillId="25" borderId="11" xfId="61" applyNumberFormat="1" applyFont="1" applyFill="1" applyBorder="1" applyAlignment="1">
      <alignment vertical="center" wrapText="1"/>
      <protection/>
    </xf>
    <xf numFmtId="3" fontId="22" fillId="25" borderId="24" xfId="61" applyNumberFormat="1" applyFont="1" applyFill="1" applyBorder="1" applyAlignment="1">
      <alignment vertical="center" wrapText="1"/>
      <protection/>
    </xf>
    <xf numFmtId="3" fontId="24" fillId="25" borderId="12" xfId="57" applyNumberFormat="1" applyFont="1" applyFill="1" applyBorder="1" applyAlignment="1" applyProtection="1">
      <alignment horizontal="center" vertical="center" wrapText="1"/>
      <protection/>
    </xf>
    <xf numFmtId="3" fontId="24" fillId="25" borderId="10" xfId="0" applyNumberFormat="1" applyFont="1" applyFill="1" applyBorder="1" applyAlignment="1">
      <alignment/>
    </xf>
    <xf numFmtId="3" fontId="24" fillId="25" borderId="11" xfId="0" applyNumberFormat="1" applyFont="1" applyFill="1" applyBorder="1" applyAlignment="1">
      <alignment wrapText="1"/>
    </xf>
    <xf numFmtId="3" fontId="24" fillId="25" borderId="24" xfId="0" applyNumberFormat="1" applyFont="1" applyFill="1" applyBorder="1" applyAlignment="1">
      <alignment/>
    </xf>
    <xf numFmtId="3" fontId="24" fillId="25" borderId="12" xfId="0" applyNumberFormat="1" applyFont="1" applyFill="1" applyBorder="1" applyAlignment="1">
      <alignment/>
    </xf>
    <xf numFmtId="3" fontId="24" fillId="25" borderId="35" xfId="0" applyNumberFormat="1" applyFont="1" applyFill="1" applyBorder="1" applyAlignment="1">
      <alignment horizontal="right"/>
    </xf>
    <xf numFmtId="3" fontId="24" fillId="25" borderId="36" xfId="0" applyNumberFormat="1" applyFont="1" applyFill="1" applyBorder="1" applyAlignment="1">
      <alignment wrapText="1"/>
    </xf>
    <xf numFmtId="3" fontId="24" fillId="25" borderId="32" xfId="0" applyNumberFormat="1" applyFont="1" applyFill="1" applyBorder="1" applyAlignment="1">
      <alignment/>
    </xf>
    <xf numFmtId="3" fontId="22" fillId="25" borderId="36" xfId="0" applyNumberFormat="1" applyFont="1" applyFill="1" applyBorder="1" applyAlignment="1">
      <alignment/>
    </xf>
    <xf numFmtId="3" fontId="22" fillId="25" borderId="22" xfId="0" applyNumberFormat="1" applyFont="1" applyFill="1" applyBorder="1" applyAlignment="1">
      <alignment/>
    </xf>
    <xf numFmtId="3" fontId="24" fillId="25" borderId="22" xfId="0" applyNumberFormat="1" applyFont="1" applyFill="1" applyBorder="1" applyAlignment="1">
      <alignment/>
    </xf>
    <xf numFmtId="3" fontId="24" fillId="25" borderId="26" xfId="0" applyNumberFormat="1" applyFont="1" applyFill="1" applyBorder="1" applyAlignment="1">
      <alignment/>
    </xf>
    <xf numFmtId="3" fontId="24" fillId="25" borderId="45" xfId="0" applyNumberFormat="1" applyFont="1" applyFill="1" applyBorder="1" applyAlignment="1">
      <alignment/>
    </xf>
    <xf numFmtId="3" fontId="24" fillId="25" borderId="49" xfId="0" applyNumberFormat="1" applyFont="1" applyFill="1" applyBorder="1" applyAlignment="1">
      <alignment/>
    </xf>
    <xf numFmtId="3" fontId="22" fillId="25" borderId="32" xfId="0" applyNumberFormat="1" applyFont="1" applyFill="1" applyBorder="1" applyAlignment="1">
      <alignment/>
    </xf>
    <xf numFmtId="3" fontId="24" fillId="25" borderId="36" xfId="0" applyNumberFormat="1" applyFont="1" applyFill="1" applyBorder="1" applyAlignment="1">
      <alignment/>
    </xf>
    <xf numFmtId="3" fontId="24" fillId="25" borderId="13" xfId="0" applyNumberFormat="1" applyFont="1" applyFill="1" applyBorder="1" applyAlignment="1">
      <alignment/>
    </xf>
    <xf numFmtId="3" fontId="24" fillId="25" borderId="37" xfId="0" applyNumberFormat="1" applyFont="1" applyFill="1" applyBorder="1" applyAlignment="1">
      <alignment/>
    </xf>
    <xf numFmtId="3" fontId="24" fillId="25" borderId="23" xfId="0" applyNumberFormat="1" applyFont="1" applyFill="1" applyBorder="1" applyAlignment="1">
      <alignment horizontal="right"/>
    </xf>
    <xf numFmtId="3" fontId="24" fillId="25" borderId="13" xfId="0" applyNumberFormat="1" applyFont="1" applyFill="1" applyBorder="1" applyAlignment="1">
      <alignment wrapText="1"/>
    </xf>
    <xf numFmtId="3" fontId="24" fillId="25" borderId="31" xfId="0" applyNumberFormat="1" applyFont="1" applyFill="1" applyBorder="1" applyAlignment="1">
      <alignment/>
    </xf>
    <xf numFmtId="3" fontId="24" fillId="25" borderId="18" xfId="0" applyNumberFormat="1" applyFont="1" applyFill="1" applyBorder="1" applyAlignment="1">
      <alignment/>
    </xf>
    <xf numFmtId="3" fontId="22" fillId="25" borderId="23" xfId="0" applyNumberFormat="1" applyFont="1" applyFill="1" applyBorder="1" applyAlignment="1">
      <alignment horizontal="right"/>
    </xf>
    <xf numFmtId="3" fontId="22" fillId="25" borderId="13" xfId="0" applyNumberFormat="1" applyFont="1" applyFill="1" applyBorder="1" applyAlignment="1">
      <alignment wrapText="1"/>
    </xf>
    <xf numFmtId="3" fontId="22" fillId="25" borderId="31" xfId="0" applyNumberFormat="1" applyFont="1" applyFill="1" applyBorder="1" applyAlignment="1">
      <alignment/>
    </xf>
    <xf numFmtId="3" fontId="22" fillId="25" borderId="13" xfId="0" applyNumberFormat="1" applyFont="1" applyFill="1" applyBorder="1" applyAlignment="1">
      <alignment/>
    </xf>
    <xf numFmtId="3" fontId="24" fillId="25" borderId="13" xfId="0" applyNumberFormat="1" applyFont="1" applyFill="1" applyBorder="1" applyAlignment="1">
      <alignment horizontal="left" wrapText="1"/>
    </xf>
    <xf numFmtId="3" fontId="22" fillId="25" borderId="23" xfId="0" applyNumberFormat="1" applyFont="1" applyFill="1" applyBorder="1" applyAlignment="1">
      <alignment horizontal="right" wrapText="1"/>
    </xf>
    <xf numFmtId="3" fontId="22" fillId="25" borderId="30" xfId="0" applyNumberFormat="1" applyFont="1" applyFill="1" applyBorder="1" applyAlignment="1">
      <alignment wrapText="1"/>
    </xf>
    <xf numFmtId="3" fontId="22" fillId="25" borderId="42" xfId="0" applyNumberFormat="1" applyFont="1" applyFill="1" applyBorder="1" applyAlignment="1">
      <alignment/>
    </xf>
    <xf numFmtId="3" fontId="22" fillId="25" borderId="30" xfId="0" applyNumberFormat="1" applyFont="1" applyFill="1" applyBorder="1" applyAlignment="1">
      <alignment/>
    </xf>
    <xf numFmtId="3" fontId="24" fillId="25" borderId="39" xfId="0" applyNumberFormat="1" applyFont="1" applyFill="1" applyBorder="1" applyAlignment="1">
      <alignment horizontal="right"/>
    </xf>
    <xf numFmtId="3" fontId="24" fillId="25" borderId="30" xfId="0" applyNumberFormat="1" applyFont="1" applyFill="1" applyBorder="1" applyAlignment="1">
      <alignment wrapText="1"/>
    </xf>
    <xf numFmtId="3" fontId="24" fillId="25" borderId="42" xfId="0" applyNumberFormat="1" applyFont="1" applyFill="1" applyBorder="1" applyAlignment="1">
      <alignment/>
    </xf>
    <xf numFmtId="3" fontId="24" fillId="25" borderId="30" xfId="0" applyNumberFormat="1" applyFont="1" applyFill="1" applyBorder="1" applyAlignment="1">
      <alignment/>
    </xf>
    <xf numFmtId="3" fontId="24" fillId="25" borderId="28" xfId="0" applyNumberFormat="1" applyFont="1" applyFill="1" applyBorder="1" applyAlignment="1">
      <alignment/>
    </xf>
    <xf numFmtId="3" fontId="24" fillId="25" borderId="50" xfId="0" applyNumberFormat="1" applyFont="1" applyFill="1" applyBorder="1" applyAlignment="1">
      <alignment/>
    </xf>
    <xf numFmtId="3" fontId="24" fillId="25" borderId="10" xfId="0" applyNumberFormat="1" applyFont="1" applyFill="1" applyBorder="1" applyAlignment="1">
      <alignment horizontal="left"/>
    </xf>
    <xf numFmtId="3" fontId="24" fillId="25" borderId="14" xfId="0" applyNumberFormat="1" applyFont="1" applyFill="1" applyBorder="1" applyAlignment="1">
      <alignment horizontal="right"/>
    </xf>
    <xf numFmtId="3" fontId="24" fillId="25" borderId="46" xfId="0" applyNumberFormat="1" applyFont="1" applyFill="1" applyBorder="1" applyAlignment="1">
      <alignment wrapText="1"/>
    </xf>
    <xf numFmtId="3" fontId="24" fillId="25" borderId="47" xfId="0" applyNumberFormat="1" applyFont="1" applyFill="1" applyBorder="1" applyAlignment="1">
      <alignment/>
    </xf>
    <xf numFmtId="3" fontId="22" fillId="25" borderId="48" xfId="0" applyNumberFormat="1" applyFont="1" applyFill="1" applyBorder="1" applyAlignment="1">
      <alignment horizontal="right"/>
    </xf>
    <xf numFmtId="3" fontId="22" fillId="25" borderId="30" xfId="58" applyNumberFormat="1" applyFont="1" applyFill="1" applyBorder="1" applyAlignment="1">
      <alignment horizontal="left" wrapText="1"/>
      <protection/>
    </xf>
    <xf numFmtId="3" fontId="22" fillId="25" borderId="33" xfId="0" applyNumberFormat="1" applyFont="1" applyFill="1" applyBorder="1" applyAlignment="1">
      <alignment/>
    </xf>
    <xf numFmtId="3" fontId="22" fillId="25" borderId="46" xfId="0" applyNumberFormat="1" applyFont="1" applyFill="1" applyBorder="1" applyAlignment="1">
      <alignment/>
    </xf>
    <xf numFmtId="3" fontId="24" fillId="25" borderId="13" xfId="0" applyNumberFormat="1" applyFont="1" applyFill="1" applyBorder="1" applyAlignment="1">
      <alignment horizontal="right"/>
    </xf>
    <xf numFmtId="3" fontId="24" fillId="25" borderId="46" xfId="65" applyNumberFormat="1" applyFont="1" applyFill="1" applyBorder="1" applyAlignment="1">
      <alignment horizontal="right"/>
      <protection/>
    </xf>
    <xf numFmtId="3" fontId="24" fillId="25" borderId="46" xfId="65" applyNumberFormat="1" applyFont="1" applyFill="1" applyBorder="1" applyAlignment="1">
      <alignment wrapText="1"/>
      <protection/>
    </xf>
    <xf numFmtId="3" fontId="24" fillId="25" borderId="33" xfId="0" applyNumberFormat="1" applyFont="1" applyFill="1" applyBorder="1" applyAlignment="1">
      <alignment/>
    </xf>
    <xf numFmtId="3" fontId="22" fillId="25" borderId="35" xfId="0" applyNumberFormat="1" applyFont="1" applyFill="1" applyBorder="1" applyAlignment="1">
      <alignment horizontal="right"/>
    </xf>
    <xf numFmtId="3" fontId="22" fillId="25" borderId="41" xfId="0" applyNumberFormat="1" applyFont="1" applyFill="1" applyBorder="1" applyAlignment="1">
      <alignment/>
    </xf>
    <xf numFmtId="3" fontId="22" fillId="25" borderId="18" xfId="0" applyNumberFormat="1" applyFont="1" applyFill="1" applyBorder="1" applyAlignment="1">
      <alignment/>
    </xf>
    <xf numFmtId="3" fontId="22" fillId="25" borderId="13" xfId="0" applyNumberFormat="1" applyFont="1" applyFill="1" applyBorder="1" applyAlignment="1">
      <alignment horizontal="left"/>
    </xf>
    <xf numFmtId="49" fontId="22" fillId="25" borderId="35" xfId="65" applyNumberFormat="1" applyFont="1" applyFill="1" applyBorder="1" applyAlignment="1">
      <alignment horizontal="right"/>
      <protection/>
    </xf>
    <xf numFmtId="0" fontId="22" fillId="25" borderId="42" xfId="58" applyFont="1" applyFill="1" applyBorder="1" applyAlignment="1">
      <alignment horizontal="left" wrapText="1"/>
      <protection/>
    </xf>
    <xf numFmtId="0" fontId="22" fillId="25" borderId="30" xfId="65" applyFont="1" applyFill="1" applyBorder="1" applyAlignment="1">
      <alignment horizontal="left" wrapText="1"/>
      <protection/>
    </xf>
    <xf numFmtId="3" fontId="22" fillId="25" borderId="13" xfId="58" applyNumberFormat="1" applyFont="1" applyFill="1" applyBorder="1" applyAlignment="1">
      <alignment horizontal="left" vertical="center" wrapText="1"/>
      <protection/>
    </xf>
    <xf numFmtId="0" fontId="21" fillId="25" borderId="13" xfId="58" applyFont="1" applyFill="1" applyBorder="1" applyAlignment="1">
      <alignment horizontal="left" wrapText="1"/>
      <protection/>
    </xf>
    <xf numFmtId="3" fontId="22" fillId="25" borderId="13" xfId="58" applyNumberFormat="1" applyFont="1" applyFill="1" applyBorder="1" applyAlignment="1">
      <alignment horizontal="left" wrapText="1"/>
      <protection/>
    </xf>
    <xf numFmtId="49" fontId="22" fillId="25" borderId="23" xfId="0" applyNumberFormat="1" applyFont="1" applyFill="1" applyBorder="1" applyAlignment="1">
      <alignment horizontal="right"/>
    </xf>
    <xf numFmtId="0" fontId="22" fillId="25" borderId="13" xfId="58" applyFont="1" applyFill="1" applyBorder="1" applyAlignment="1">
      <alignment horizontal="center" wrapText="1"/>
      <protection/>
    </xf>
    <xf numFmtId="3" fontId="22" fillId="25" borderId="38" xfId="0" applyNumberFormat="1" applyFont="1" applyFill="1" applyBorder="1" applyAlignment="1">
      <alignment/>
    </xf>
    <xf numFmtId="0" fontId="22" fillId="25" borderId="36" xfId="58" applyFont="1" applyFill="1" applyBorder="1" applyAlignment="1">
      <alignment horizontal="left" wrapText="1"/>
      <protection/>
    </xf>
    <xf numFmtId="3" fontId="22" fillId="25" borderId="36" xfId="0" applyNumberFormat="1" applyFont="1" applyFill="1" applyBorder="1" applyAlignment="1">
      <alignment horizontal="left" wrapText="1"/>
    </xf>
    <xf numFmtId="3" fontId="22" fillId="25" borderId="20" xfId="0" applyNumberFormat="1" applyFont="1" applyFill="1" applyBorder="1" applyAlignment="1">
      <alignment/>
    </xf>
    <xf numFmtId="49" fontId="22" fillId="25" borderId="23" xfId="65" applyNumberFormat="1" applyFont="1" applyFill="1" applyBorder="1" applyAlignment="1">
      <alignment horizontal="right"/>
      <protection/>
    </xf>
    <xf numFmtId="0" fontId="22" fillId="25" borderId="13" xfId="65" applyFont="1" applyFill="1" applyBorder="1" applyAlignment="1">
      <alignment wrapText="1"/>
      <protection/>
    </xf>
    <xf numFmtId="3" fontId="24" fillId="25" borderId="36" xfId="0" applyNumberFormat="1" applyFont="1" applyFill="1" applyBorder="1" applyAlignment="1">
      <alignment horizontal="left" wrapText="1"/>
    </xf>
    <xf numFmtId="3" fontId="24" fillId="25" borderId="21" xfId="65" applyNumberFormat="1" applyFont="1" applyFill="1" applyBorder="1" applyAlignment="1">
      <alignment horizontal="right"/>
      <protection/>
    </xf>
    <xf numFmtId="3" fontId="24" fillId="25" borderId="11" xfId="0" applyNumberFormat="1" applyFont="1" applyFill="1" applyBorder="1" applyAlignment="1">
      <alignment horizontal="left" wrapText="1"/>
    </xf>
    <xf numFmtId="3" fontId="24" fillId="25" borderId="17" xfId="0" applyNumberFormat="1" applyFont="1" applyFill="1" applyBorder="1" applyAlignment="1">
      <alignment/>
    </xf>
    <xf numFmtId="3" fontId="22" fillId="25" borderId="14" xfId="0" applyNumberFormat="1" applyFont="1" applyFill="1" applyBorder="1" applyAlignment="1">
      <alignment/>
    </xf>
    <xf numFmtId="3" fontId="24" fillId="25" borderId="14" xfId="0" applyNumberFormat="1" applyFont="1" applyFill="1" applyBorder="1" applyAlignment="1">
      <alignment/>
    </xf>
    <xf numFmtId="3" fontId="24" fillId="25" borderId="38" xfId="0" applyNumberFormat="1" applyFont="1" applyFill="1" applyBorder="1" applyAlignment="1">
      <alignment/>
    </xf>
    <xf numFmtId="3" fontId="22" fillId="25" borderId="39" xfId="0" applyNumberFormat="1" applyFont="1" applyFill="1" applyBorder="1" applyAlignment="1">
      <alignment horizontal="right"/>
    </xf>
    <xf numFmtId="3" fontId="22" fillId="25" borderId="36" xfId="58" applyNumberFormat="1" applyFont="1" applyFill="1" applyBorder="1" applyAlignment="1">
      <alignment horizontal="left" wrapText="1"/>
      <protection/>
    </xf>
    <xf numFmtId="3" fontId="22" fillId="25" borderId="21" xfId="0" applyNumberFormat="1" applyFont="1" applyFill="1" applyBorder="1" applyAlignment="1">
      <alignment horizontal="right"/>
    </xf>
    <xf numFmtId="3" fontId="22" fillId="25" borderId="0" xfId="0" applyNumberFormat="1" applyFont="1" applyFill="1" applyAlignment="1">
      <alignment/>
    </xf>
    <xf numFmtId="3" fontId="24" fillId="25" borderId="41" xfId="0" applyNumberFormat="1" applyFont="1" applyFill="1" applyBorder="1" applyAlignment="1">
      <alignment/>
    </xf>
    <xf numFmtId="3" fontId="26" fillId="25" borderId="14" xfId="0" applyNumberFormat="1" applyFont="1" applyFill="1" applyBorder="1" applyAlignment="1">
      <alignment/>
    </xf>
    <xf numFmtId="0" fontId="22" fillId="25" borderId="36" xfId="65" applyFont="1" applyFill="1" applyBorder="1" applyAlignment="1">
      <alignment horizontal="left" wrapText="1"/>
      <protection/>
    </xf>
    <xf numFmtId="3" fontId="22" fillId="25" borderId="14" xfId="0" applyNumberFormat="1" applyFont="1" applyFill="1" applyBorder="1" applyAlignment="1">
      <alignment horizontal="left" wrapText="1"/>
    </xf>
    <xf numFmtId="3" fontId="22" fillId="25" borderId="0" xfId="0" applyNumberFormat="1" applyFont="1" applyFill="1" applyBorder="1" applyAlignment="1">
      <alignment horizontal="left" wrapText="1"/>
    </xf>
    <xf numFmtId="3" fontId="22" fillId="25" borderId="47" xfId="0" applyNumberFormat="1" applyFont="1" applyFill="1" applyBorder="1" applyAlignment="1">
      <alignment/>
    </xf>
    <xf numFmtId="3" fontId="22" fillId="25" borderId="13" xfId="65" applyNumberFormat="1" applyFont="1" applyFill="1" applyBorder="1" applyAlignment="1">
      <alignment horizontal="left" wrapText="1"/>
      <protection/>
    </xf>
    <xf numFmtId="0" fontId="22" fillId="25" borderId="13" xfId="0" applyFont="1" applyFill="1" applyBorder="1" applyAlignment="1">
      <alignment horizontal="left" wrapText="1"/>
    </xf>
    <xf numFmtId="0" fontId="21" fillId="25" borderId="0" xfId="0" applyFont="1" applyFill="1" applyAlignment="1">
      <alignment horizontal="left" wrapText="1"/>
    </xf>
    <xf numFmtId="49" fontId="22" fillId="25" borderId="21" xfId="65" applyNumberFormat="1" applyFont="1" applyFill="1" applyBorder="1" applyAlignment="1">
      <alignment horizontal="right"/>
      <protection/>
    </xf>
    <xf numFmtId="0" fontId="21" fillId="25" borderId="51" xfId="65" applyFont="1" applyFill="1" applyBorder="1" applyAlignment="1">
      <alignment horizontal="left" wrapText="1"/>
      <protection/>
    </xf>
    <xf numFmtId="3" fontId="22" fillId="25" borderId="52" xfId="0" applyNumberFormat="1" applyFont="1" applyFill="1" applyBorder="1" applyAlignment="1">
      <alignment/>
    </xf>
    <xf numFmtId="3" fontId="22" fillId="25" borderId="45" xfId="0" applyNumberFormat="1" applyFont="1" applyFill="1" applyBorder="1" applyAlignment="1">
      <alignment/>
    </xf>
    <xf numFmtId="0" fontId="22" fillId="25" borderId="46" xfId="65" applyFont="1" applyFill="1" applyBorder="1" applyAlignment="1">
      <alignment wrapText="1"/>
      <protection/>
    </xf>
    <xf numFmtId="3" fontId="26" fillId="25" borderId="13" xfId="0" applyNumberFormat="1" applyFont="1" applyFill="1" applyBorder="1" applyAlignment="1">
      <alignment/>
    </xf>
    <xf numFmtId="0" fontId="22" fillId="25" borderId="13" xfId="65" applyFont="1" applyFill="1" applyBorder="1" applyAlignment="1">
      <alignment horizontal="left" wrapText="1"/>
      <protection/>
    </xf>
    <xf numFmtId="3" fontId="22" fillId="25" borderId="30" xfId="0" applyNumberFormat="1" applyFont="1" applyFill="1" applyBorder="1" applyAlignment="1">
      <alignment horizontal="left" wrapText="1"/>
    </xf>
    <xf numFmtId="0" fontId="22" fillId="25" borderId="13" xfId="58" applyFont="1" applyFill="1" applyBorder="1" applyAlignment="1">
      <alignment horizontal="left" wrapText="1"/>
      <protection/>
    </xf>
    <xf numFmtId="3" fontId="24" fillId="25" borderId="30" xfId="0" applyNumberFormat="1" applyFont="1" applyFill="1" applyBorder="1" applyAlignment="1">
      <alignment horizontal="left" wrapText="1"/>
    </xf>
    <xf numFmtId="49" fontId="24" fillId="25" borderId="23" xfId="65" applyNumberFormat="1" applyFont="1" applyFill="1" applyBorder="1" applyAlignment="1">
      <alignment horizontal="right"/>
      <protection/>
    </xf>
    <xf numFmtId="49" fontId="24" fillId="25" borderId="53" xfId="65" applyNumberFormat="1" applyFont="1" applyFill="1" applyBorder="1" applyAlignment="1">
      <alignment horizontal="right"/>
      <protection/>
    </xf>
    <xf numFmtId="3" fontId="24" fillId="25" borderId="0" xfId="0" applyNumberFormat="1" applyFont="1" applyFill="1" applyBorder="1" applyAlignment="1">
      <alignment wrapText="1"/>
    </xf>
    <xf numFmtId="3" fontId="24" fillId="25" borderId="46" xfId="0" applyNumberFormat="1" applyFont="1" applyFill="1" applyBorder="1" applyAlignment="1">
      <alignment/>
    </xf>
    <xf numFmtId="3" fontId="24" fillId="25" borderId="29" xfId="0" applyNumberFormat="1" applyFont="1" applyFill="1" applyBorder="1" applyAlignment="1">
      <alignment horizontal="left"/>
    </xf>
    <xf numFmtId="3" fontId="24" fillId="25" borderId="11" xfId="0" applyNumberFormat="1" applyFont="1" applyFill="1" applyBorder="1" applyAlignment="1">
      <alignment/>
    </xf>
    <xf numFmtId="3" fontId="24" fillId="25" borderId="54" xfId="0" applyNumberFormat="1" applyFont="1" applyFill="1" applyBorder="1" applyAlignment="1">
      <alignment horizontal="right"/>
    </xf>
    <xf numFmtId="3" fontId="24" fillId="25" borderId="51" xfId="0" applyNumberFormat="1" applyFont="1" applyFill="1" applyBorder="1" applyAlignment="1">
      <alignment wrapText="1"/>
    </xf>
    <xf numFmtId="3" fontId="24" fillId="25" borderId="55" xfId="0" applyNumberFormat="1" applyFont="1" applyFill="1" applyBorder="1" applyAlignment="1">
      <alignment/>
    </xf>
    <xf numFmtId="3" fontId="24" fillId="25" borderId="56" xfId="0" applyNumberFormat="1" applyFont="1" applyFill="1" applyBorder="1" applyAlignment="1">
      <alignment/>
    </xf>
    <xf numFmtId="3" fontId="24" fillId="25" borderId="57" xfId="0" applyNumberFormat="1" applyFont="1" applyFill="1" applyBorder="1" applyAlignment="1">
      <alignment/>
    </xf>
    <xf numFmtId="3" fontId="22" fillId="25" borderId="35" xfId="65" applyNumberFormat="1" applyFont="1" applyFill="1" applyBorder="1" applyAlignment="1">
      <alignment horizontal="right"/>
      <protection/>
    </xf>
    <xf numFmtId="3" fontId="21" fillId="25" borderId="13" xfId="58" applyNumberFormat="1" applyFont="1" applyFill="1" applyBorder="1" applyAlignment="1">
      <alignment horizontal="left" wrapText="1"/>
      <protection/>
    </xf>
    <xf numFmtId="3" fontId="21" fillId="25" borderId="46" xfId="58" applyNumberFormat="1" applyFont="1" applyFill="1" applyBorder="1" applyAlignment="1">
      <alignment horizontal="left" wrapText="1"/>
      <protection/>
    </xf>
    <xf numFmtId="3" fontId="22" fillId="25" borderId="0" xfId="0" applyNumberFormat="1" applyFont="1" applyFill="1" applyAlignment="1">
      <alignment horizontal="center" wrapText="1"/>
    </xf>
    <xf numFmtId="3" fontId="21" fillId="25" borderId="30" xfId="58" applyNumberFormat="1" applyFont="1" applyFill="1" applyBorder="1" applyAlignment="1">
      <alignment horizontal="left" wrapText="1"/>
      <protection/>
    </xf>
    <xf numFmtId="3" fontId="22" fillId="25" borderId="13" xfId="0" applyNumberFormat="1" applyFont="1" applyFill="1" applyBorder="1" applyAlignment="1">
      <alignment horizontal="right"/>
    </xf>
    <xf numFmtId="3" fontId="22" fillId="25" borderId="13" xfId="59" applyNumberFormat="1" applyFont="1" applyFill="1" applyBorder="1" applyAlignment="1">
      <alignment horizontal="left" wrapText="1"/>
      <protection/>
    </xf>
    <xf numFmtId="3" fontId="22" fillId="25" borderId="13" xfId="65" applyNumberFormat="1" applyFont="1" applyFill="1" applyBorder="1" applyAlignment="1">
      <alignment horizontal="right"/>
      <protection/>
    </xf>
    <xf numFmtId="3" fontId="21" fillId="25" borderId="28" xfId="58" applyNumberFormat="1" applyFont="1" applyFill="1" applyBorder="1" applyAlignment="1">
      <alignment horizontal="left" wrapText="1"/>
      <protection/>
    </xf>
    <xf numFmtId="3" fontId="24" fillId="25" borderId="22" xfId="0" applyNumberFormat="1" applyFont="1" applyFill="1" applyBorder="1" applyAlignment="1">
      <alignment wrapText="1"/>
    </xf>
    <xf numFmtId="3" fontId="24" fillId="25" borderId="43" xfId="0" applyNumberFormat="1" applyFont="1" applyFill="1" applyBorder="1" applyAlignment="1">
      <alignment/>
    </xf>
    <xf numFmtId="3" fontId="24" fillId="25" borderId="44" xfId="0" applyNumberFormat="1" applyFont="1" applyFill="1" applyBorder="1" applyAlignment="1">
      <alignment/>
    </xf>
    <xf numFmtId="0" fontId="21" fillId="25" borderId="46" xfId="58" applyFont="1" applyFill="1" applyBorder="1" applyAlignment="1">
      <alignment horizontal="left" wrapText="1"/>
      <protection/>
    </xf>
    <xf numFmtId="0" fontId="22" fillId="25" borderId="46" xfId="58" applyFont="1" applyFill="1" applyBorder="1" applyAlignment="1">
      <alignment horizontal="left" wrapText="1"/>
      <protection/>
    </xf>
    <xf numFmtId="3" fontId="22" fillId="25" borderId="10" xfId="0" applyNumberFormat="1" applyFont="1" applyFill="1" applyBorder="1" applyAlignment="1">
      <alignment/>
    </xf>
    <xf numFmtId="3" fontId="24" fillId="25" borderId="56" xfId="0" applyNumberFormat="1" applyFont="1" applyFill="1" applyBorder="1" applyAlignment="1">
      <alignment/>
    </xf>
    <xf numFmtId="0" fontId="25" fillId="0" borderId="0" xfId="0" applyFont="1" applyFill="1" applyAlignment="1">
      <alignment horizontal="center"/>
    </xf>
    <xf numFmtId="3" fontId="25" fillId="0" borderId="58" xfId="0" applyNumberFormat="1" applyFont="1" applyFill="1" applyBorder="1" applyAlignment="1">
      <alignment horizont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09.g plāns apst" xfId="57"/>
    <cellStyle name="Normal_PROJEKTI_2016_PLĀNS_Aija un Inese" xfId="58"/>
    <cellStyle name="Normal_PROJEKTI_2016_PLĀNS_Aija un Inese 2" xfId="59"/>
    <cellStyle name="Normal_Sheet1" xfId="60"/>
    <cellStyle name="Normal_Sheet1_Pielikumi oktobra korekcijam" xfId="61"/>
    <cellStyle name="Normal_Specbudz.kopsavilkums 2006.g un korekc." xfId="62"/>
    <cellStyle name="Note" xfId="63"/>
    <cellStyle name="Output" xfId="64"/>
    <cellStyle name="Parasts 2" xfId="65"/>
    <cellStyle name="Parasts 2 2" xfId="66"/>
    <cellStyle name="Parasts 2_2016.g. Ieņēmumu un izdevumu plāns" xfId="67"/>
    <cellStyle name="Parasts 4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5"/>
  <sheetViews>
    <sheetView tabSelected="1" zoomScalePageLayoutView="0" workbookViewId="0" topLeftCell="A1">
      <pane xSplit="2" ySplit="7" topLeftCell="C44" activePane="bottomRight" state="frozen"/>
      <selection pane="topLeft" activeCell="A1" sqref="A1"/>
      <selection pane="topRight" activeCell="D1" sqref="D1"/>
      <selection pane="bottomLeft" activeCell="A8" sqref="A8"/>
      <selection pane="bottomRight" activeCell="O58" sqref="O58"/>
    </sheetView>
  </sheetViews>
  <sheetFormatPr defaultColWidth="9.140625" defaultRowHeight="12.75"/>
  <cols>
    <col min="1" max="1" width="13.28125" style="1" customWidth="1"/>
    <col min="2" max="2" width="41.00390625" style="2" customWidth="1"/>
    <col min="3" max="3" width="12.7109375" style="1" customWidth="1"/>
    <col min="4" max="4" width="13.8515625" style="3" customWidth="1"/>
    <col min="5" max="5" width="10.7109375" style="1" customWidth="1"/>
    <col min="6" max="6" width="11.00390625" style="1" customWidth="1"/>
    <col min="7" max="7" width="10.8515625" style="1" bestFit="1" customWidth="1"/>
    <col min="8" max="8" width="9.7109375" style="1" customWidth="1"/>
    <col min="9" max="9" width="10.421875" style="1" customWidth="1"/>
    <col min="10" max="10" width="11.28125" style="1" customWidth="1"/>
    <col min="11" max="11" width="10.00390625" style="1" customWidth="1"/>
    <col min="12" max="12" width="9.7109375" style="1" customWidth="1"/>
    <col min="13" max="13" width="10.421875" style="1" customWidth="1"/>
    <col min="14" max="14" width="10.28125" style="1" customWidth="1"/>
    <col min="15" max="15" width="13.00390625" style="5" customWidth="1"/>
    <col min="16" max="16" width="9.8515625" style="1" customWidth="1"/>
    <col min="17" max="16384" width="9.140625" style="1" customWidth="1"/>
  </cols>
  <sheetData>
    <row r="1" spans="5:14" ht="15">
      <c r="E1" s="4"/>
      <c r="F1" s="4"/>
      <c r="N1" s="80" t="s">
        <v>124</v>
      </c>
    </row>
    <row r="2" spans="1:14" ht="15">
      <c r="A2" s="6"/>
      <c r="E2" s="6"/>
      <c r="F2" s="6"/>
      <c r="N2" s="80" t="s">
        <v>168</v>
      </c>
    </row>
    <row r="3" spans="1:14" ht="15">
      <c r="A3" s="6"/>
      <c r="E3" s="6"/>
      <c r="F3" s="6"/>
      <c r="N3" s="80" t="s">
        <v>483</v>
      </c>
    </row>
    <row r="5" spans="1:4" ht="20.25">
      <c r="A5" s="277" t="s">
        <v>389</v>
      </c>
      <c r="B5" s="277"/>
      <c r="C5" s="277"/>
      <c r="D5" s="277"/>
    </row>
    <row r="6" spans="1:13" ht="15.75" thickBot="1">
      <c r="A6" s="6"/>
      <c r="B6" s="7"/>
      <c r="C6" s="6"/>
      <c r="M6" s="8"/>
    </row>
    <row r="7" spans="1:15" ht="104.25" customHeight="1" thickBot="1">
      <c r="A7" s="9" t="s">
        <v>0</v>
      </c>
      <c r="B7" s="10" t="s">
        <v>142</v>
      </c>
      <c r="C7" s="35" t="s">
        <v>376</v>
      </c>
      <c r="D7" s="36" t="s">
        <v>375</v>
      </c>
      <c r="E7" s="11" t="s">
        <v>377</v>
      </c>
      <c r="F7" s="11" t="s">
        <v>378</v>
      </c>
      <c r="G7" s="12" t="s">
        <v>379</v>
      </c>
      <c r="H7" s="12" t="s">
        <v>380</v>
      </c>
      <c r="I7" s="12" t="s">
        <v>381</v>
      </c>
      <c r="J7" s="12" t="s">
        <v>382</v>
      </c>
      <c r="K7" s="12" t="s">
        <v>383</v>
      </c>
      <c r="L7" s="12" t="s">
        <v>384</v>
      </c>
      <c r="M7" s="12" t="s">
        <v>385</v>
      </c>
      <c r="N7" s="77" t="s">
        <v>386</v>
      </c>
      <c r="O7" s="13" t="s">
        <v>387</v>
      </c>
    </row>
    <row r="8" spans="1:15" ht="15.75" thickBot="1">
      <c r="A8" s="83"/>
      <c r="B8" s="84" t="s">
        <v>18</v>
      </c>
      <c r="C8" s="85">
        <f>C9+C12+C18</f>
        <v>24616507</v>
      </c>
      <c r="D8" s="85">
        <f aca="true" t="shared" si="0" ref="D8:N8">D9+D12+D18</f>
        <v>0</v>
      </c>
      <c r="E8" s="85">
        <f t="shared" si="0"/>
        <v>0</v>
      </c>
      <c r="F8" s="86">
        <f t="shared" si="0"/>
        <v>0</v>
      </c>
      <c r="G8" s="85">
        <f>G9+G12+G18</f>
        <v>109850</v>
      </c>
      <c r="H8" s="85">
        <f t="shared" si="0"/>
        <v>50140</v>
      </c>
      <c r="I8" s="85">
        <f t="shared" si="0"/>
        <v>44700</v>
      </c>
      <c r="J8" s="85">
        <f t="shared" si="0"/>
        <v>102948</v>
      </c>
      <c r="K8" s="85">
        <f t="shared" si="0"/>
        <v>55000</v>
      </c>
      <c r="L8" s="85">
        <f t="shared" si="0"/>
        <v>45600</v>
      </c>
      <c r="M8" s="85">
        <f t="shared" si="0"/>
        <v>46823</v>
      </c>
      <c r="N8" s="85">
        <f t="shared" si="0"/>
        <v>60172</v>
      </c>
      <c r="O8" s="87">
        <f>SUM(C8:N8)</f>
        <v>25131740</v>
      </c>
    </row>
    <row r="9" spans="1:15" ht="15">
      <c r="A9" s="88" t="s">
        <v>19</v>
      </c>
      <c r="B9" s="89" t="s">
        <v>143</v>
      </c>
      <c r="C9" s="90">
        <f aca="true" t="shared" si="1" ref="C9:N9">SUM(C10:C11)</f>
        <v>22842645</v>
      </c>
      <c r="D9" s="90">
        <f t="shared" si="1"/>
        <v>0</v>
      </c>
      <c r="E9" s="90">
        <f t="shared" si="1"/>
        <v>0</v>
      </c>
      <c r="F9" s="72">
        <f t="shared" si="1"/>
        <v>0</v>
      </c>
      <c r="G9" s="90">
        <f t="shared" si="1"/>
        <v>0</v>
      </c>
      <c r="H9" s="90">
        <f t="shared" si="1"/>
        <v>0</v>
      </c>
      <c r="I9" s="90">
        <f t="shared" si="1"/>
        <v>0</v>
      </c>
      <c r="J9" s="90">
        <f t="shared" si="1"/>
        <v>0</v>
      </c>
      <c r="K9" s="90">
        <f t="shared" si="1"/>
        <v>0</v>
      </c>
      <c r="L9" s="90">
        <f t="shared" si="1"/>
        <v>0</v>
      </c>
      <c r="M9" s="90">
        <f t="shared" si="1"/>
        <v>0</v>
      </c>
      <c r="N9" s="90">
        <f t="shared" si="1"/>
        <v>0</v>
      </c>
      <c r="O9" s="91">
        <f aca="true" t="shared" si="2" ref="O9:O31">SUM(C9:N9)</f>
        <v>22842645</v>
      </c>
    </row>
    <row r="10" spans="1:15" ht="45">
      <c r="A10" s="92" t="s">
        <v>173</v>
      </c>
      <c r="B10" s="93" t="s">
        <v>174</v>
      </c>
      <c r="C10" s="76"/>
      <c r="D10" s="76"/>
      <c r="E10" s="76"/>
      <c r="F10" s="71"/>
      <c r="G10" s="76"/>
      <c r="H10" s="76"/>
      <c r="I10" s="76"/>
      <c r="J10" s="76"/>
      <c r="K10" s="76"/>
      <c r="L10" s="76"/>
      <c r="M10" s="76"/>
      <c r="N10" s="76"/>
      <c r="O10" s="91">
        <f t="shared" si="2"/>
        <v>0</v>
      </c>
    </row>
    <row r="11" spans="1:15" ht="30">
      <c r="A11" s="92" t="s">
        <v>175</v>
      </c>
      <c r="B11" s="93" t="s">
        <v>176</v>
      </c>
      <c r="C11" s="76">
        <v>22842645</v>
      </c>
      <c r="D11" s="76"/>
      <c r="E11" s="76"/>
      <c r="F11" s="71"/>
      <c r="G11" s="76"/>
      <c r="H11" s="76"/>
      <c r="I11" s="76"/>
      <c r="J11" s="76"/>
      <c r="K11" s="76"/>
      <c r="L11" s="76"/>
      <c r="M11" s="76"/>
      <c r="N11" s="76"/>
      <c r="O11" s="91">
        <f t="shared" si="2"/>
        <v>22842645</v>
      </c>
    </row>
    <row r="12" spans="1:15" ht="15">
      <c r="A12" s="94" t="s">
        <v>144</v>
      </c>
      <c r="B12" s="93" t="s">
        <v>145</v>
      </c>
      <c r="C12" s="76">
        <f>C13</f>
        <v>1723862</v>
      </c>
      <c r="D12" s="76"/>
      <c r="E12" s="76"/>
      <c r="F12" s="71"/>
      <c r="G12" s="76">
        <f>G13</f>
        <v>109850</v>
      </c>
      <c r="H12" s="74">
        <f aca="true" t="shared" si="3" ref="H12:N12">H13</f>
        <v>50140</v>
      </c>
      <c r="I12" s="74">
        <f t="shared" si="3"/>
        <v>44700</v>
      </c>
      <c r="J12" s="74">
        <f t="shared" si="3"/>
        <v>102948</v>
      </c>
      <c r="K12" s="74">
        <f t="shared" si="3"/>
        <v>55000</v>
      </c>
      <c r="L12" s="74">
        <f t="shared" si="3"/>
        <v>45600</v>
      </c>
      <c r="M12" s="74">
        <f t="shared" si="3"/>
        <v>46823</v>
      </c>
      <c r="N12" s="74">
        <f t="shared" si="3"/>
        <v>60172</v>
      </c>
      <c r="O12" s="91">
        <f t="shared" si="2"/>
        <v>2239095</v>
      </c>
    </row>
    <row r="13" spans="1:15" ht="15">
      <c r="A13" s="94" t="s">
        <v>20</v>
      </c>
      <c r="B13" s="93" t="s">
        <v>21</v>
      </c>
      <c r="C13" s="76">
        <f>SUM(C14:C16)</f>
        <v>1723862</v>
      </c>
      <c r="D13" s="76"/>
      <c r="E13" s="76"/>
      <c r="F13" s="71"/>
      <c r="G13" s="76">
        <f>SUM(G14:G16)</f>
        <v>109850</v>
      </c>
      <c r="H13" s="76">
        <f aca="true" t="shared" si="4" ref="H13:N13">SUM(H14:H16)</f>
        <v>50140</v>
      </c>
      <c r="I13" s="76">
        <f t="shared" si="4"/>
        <v>44700</v>
      </c>
      <c r="J13" s="76">
        <f t="shared" si="4"/>
        <v>102948</v>
      </c>
      <c r="K13" s="76">
        <f t="shared" si="4"/>
        <v>55000</v>
      </c>
      <c r="L13" s="76">
        <f t="shared" si="4"/>
        <v>45600</v>
      </c>
      <c r="M13" s="76">
        <f t="shared" si="4"/>
        <v>46823</v>
      </c>
      <c r="N13" s="76">
        <f t="shared" si="4"/>
        <v>60172</v>
      </c>
      <c r="O13" s="91">
        <f t="shared" si="2"/>
        <v>2239095</v>
      </c>
    </row>
    <row r="14" spans="1:15" ht="15">
      <c r="A14" s="92" t="s">
        <v>1</v>
      </c>
      <c r="B14" s="93" t="s">
        <v>22</v>
      </c>
      <c r="C14" s="74">
        <v>746892</v>
      </c>
      <c r="D14" s="74"/>
      <c r="E14" s="74"/>
      <c r="F14" s="95"/>
      <c r="G14" s="96">
        <v>93500</v>
      </c>
      <c r="H14" s="74">
        <v>45230</v>
      </c>
      <c r="I14" s="74">
        <v>40000</v>
      </c>
      <c r="J14" s="74">
        <v>92073</v>
      </c>
      <c r="K14" s="76">
        <v>49000</v>
      </c>
      <c r="L14" s="74">
        <v>42000</v>
      </c>
      <c r="M14" s="76">
        <v>45277</v>
      </c>
      <c r="N14" s="97">
        <v>57500</v>
      </c>
      <c r="O14" s="91">
        <f t="shared" si="2"/>
        <v>1211472</v>
      </c>
    </row>
    <row r="15" spans="1:15" ht="15">
      <c r="A15" s="92" t="s">
        <v>2</v>
      </c>
      <c r="B15" s="93" t="s">
        <v>23</v>
      </c>
      <c r="C15" s="74">
        <f>525850</f>
        <v>525850</v>
      </c>
      <c r="D15" s="74"/>
      <c r="E15" s="74"/>
      <c r="F15" s="95"/>
      <c r="G15" s="96">
        <v>4950</v>
      </c>
      <c r="H15" s="74">
        <v>2950</v>
      </c>
      <c r="I15" s="74">
        <v>2200</v>
      </c>
      <c r="J15" s="74">
        <v>4386</v>
      </c>
      <c r="K15" s="76">
        <v>6000</v>
      </c>
      <c r="L15" s="74">
        <v>1400</v>
      </c>
      <c r="M15" s="76">
        <v>374</v>
      </c>
      <c r="N15" s="97">
        <v>402</v>
      </c>
      <c r="O15" s="91">
        <f t="shared" si="2"/>
        <v>548512</v>
      </c>
    </row>
    <row r="16" spans="1:15" ht="15">
      <c r="A16" s="92" t="s">
        <v>283</v>
      </c>
      <c r="B16" s="93" t="s">
        <v>284</v>
      </c>
      <c r="C16" s="74">
        <v>451120</v>
      </c>
      <c r="D16" s="74"/>
      <c r="E16" s="74"/>
      <c r="F16" s="95"/>
      <c r="G16" s="96">
        <v>11400</v>
      </c>
      <c r="H16" s="74">
        <v>1960</v>
      </c>
      <c r="I16" s="76">
        <v>2500</v>
      </c>
      <c r="J16" s="74">
        <v>6489</v>
      </c>
      <c r="K16" s="74"/>
      <c r="L16" s="74">
        <v>2200</v>
      </c>
      <c r="M16" s="76">
        <v>1172</v>
      </c>
      <c r="N16" s="97">
        <v>2270</v>
      </c>
      <c r="O16" s="91">
        <f t="shared" si="2"/>
        <v>479111</v>
      </c>
    </row>
    <row r="17" spans="1:15" ht="15">
      <c r="A17" s="98" t="s">
        <v>478</v>
      </c>
      <c r="B17" s="99" t="s">
        <v>479</v>
      </c>
      <c r="C17" s="82"/>
      <c r="D17" s="82"/>
      <c r="E17" s="82"/>
      <c r="F17" s="100"/>
      <c r="G17" s="101"/>
      <c r="H17" s="82"/>
      <c r="I17" s="70"/>
      <c r="J17" s="82"/>
      <c r="K17" s="82"/>
      <c r="L17" s="82"/>
      <c r="M17" s="70"/>
      <c r="N17" s="100"/>
      <c r="O17" s="102"/>
    </row>
    <row r="18" spans="1:15" ht="15.75" thickBot="1">
      <c r="A18" s="103" t="s">
        <v>169</v>
      </c>
      <c r="B18" s="104" t="s">
        <v>170</v>
      </c>
      <c r="C18" s="70">
        <v>50000</v>
      </c>
      <c r="D18" s="70"/>
      <c r="E18" s="70"/>
      <c r="F18" s="105"/>
      <c r="G18" s="70"/>
      <c r="H18" s="70"/>
      <c r="I18" s="70"/>
      <c r="J18" s="70"/>
      <c r="K18" s="70"/>
      <c r="L18" s="70"/>
      <c r="M18" s="70"/>
      <c r="N18" s="105"/>
      <c r="O18" s="276">
        <f t="shared" si="2"/>
        <v>50000</v>
      </c>
    </row>
    <row r="19" spans="1:15" ht="15.75" thickBot="1">
      <c r="A19" s="83"/>
      <c r="B19" s="84" t="s">
        <v>24</v>
      </c>
      <c r="C19" s="85">
        <f>SUM(C20:C27)</f>
        <v>567000</v>
      </c>
      <c r="D19" s="85">
        <f aca="true" t="shared" si="5" ref="D19:N19">SUM(D20:D27)</f>
        <v>200</v>
      </c>
      <c r="E19" s="85">
        <f t="shared" si="5"/>
        <v>0</v>
      </c>
      <c r="F19" s="85">
        <f t="shared" si="5"/>
        <v>0</v>
      </c>
      <c r="G19" s="85">
        <f t="shared" si="5"/>
        <v>5470</v>
      </c>
      <c r="H19" s="85">
        <f t="shared" si="5"/>
        <v>320</v>
      </c>
      <c r="I19" s="85">
        <f t="shared" si="5"/>
        <v>100</v>
      </c>
      <c r="J19" s="85">
        <f t="shared" si="5"/>
        <v>9780</v>
      </c>
      <c r="K19" s="85">
        <f t="shared" si="5"/>
        <v>60</v>
      </c>
      <c r="L19" s="85">
        <f t="shared" si="5"/>
        <v>112</v>
      </c>
      <c r="M19" s="85">
        <f t="shared" si="5"/>
        <v>300</v>
      </c>
      <c r="N19" s="85">
        <f t="shared" si="5"/>
        <v>170</v>
      </c>
      <c r="O19" s="87">
        <f t="shared" si="2"/>
        <v>583512</v>
      </c>
    </row>
    <row r="20" spans="1:15" ht="15">
      <c r="A20" s="106" t="s">
        <v>454</v>
      </c>
      <c r="B20" s="107" t="s">
        <v>455</v>
      </c>
      <c r="C20" s="75">
        <v>60000</v>
      </c>
      <c r="D20" s="108"/>
      <c r="E20" s="108"/>
      <c r="F20" s="109"/>
      <c r="G20" s="108"/>
      <c r="H20" s="109"/>
      <c r="I20" s="109"/>
      <c r="J20" s="109"/>
      <c r="K20" s="109"/>
      <c r="L20" s="109"/>
      <c r="M20" s="109"/>
      <c r="N20" s="109"/>
      <c r="O20" s="91">
        <f t="shared" si="2"/>
        <v>60000</v>
      </c>
    </row>
    <row r="21" spans="1:15" ht="30">
      <c r="A21" s="88" t="s">
        <v>177</v>
      </c>
      <c r="B21" s="89" t="s">
        <v>178</v>
      </c>
      <c r="C21" s="90"/>
      <c r="D21" s="90"/>
      <c r="E21" s="90"/>
      <c r="F21" s="72"/>
      <c r="G21" s="90"/>
      <c r="H21" s="90"/>
      <c r="I21" s="90"/>
      <c r="J21" s="90">
        <v>120</v>
      </c>
      <c r="K21" s="90"/>
      <c r="L21" s="90"/>
      <c r="M21" s="90"/>
      <c r="N21" s="72"/>
      <c r="O21" s="91">
        <f t="shared" si="2"/>
        <v>120</v>
      </c>
    </row>
    <row r="22" spans="1:15" ht="15">
      <c r="A22" s="88" t="s">
        <v>480</v>
      </c>
      <c r="B22" s="89" t="s">
        <v>481</v>
      </c>
      <c r="C22" s="90"/>
      <c r="D22" s="90"/>
      <c r="E22" s="90"/>
      <c r="F22" s="72"/>
      <c r="G22" s="90"/>
      <c r="H22" s="90"/>
      <c r="I22" s="90"/>
      <c r="J22" s="90"/>
      <c r="K22" s="90"/>
      <c r="L22" s="110"/>
      <c r="M22" s="90"/>
      <c r="N22" s="111"/>
      <c r="O22" s="91">
        <f t="shared" si="2"/>
        <v>0</v>
      </c>
    </row>
    <row r="23" spans="1:15" ht="30">
      <c r="A23" s="94" t="s">
        <v>25</v>
      </c>
      <c r="B23" s="93" t="s">
        <v>26</v>
      </c>
      <c r="C23" s="76">
        <v>9000</v>
      </c>
      <c r="D23" s="76"/>
      <c r="E23" s="76"/>
      <c r="F23" s="71"/>
      <c r="G23" s="76"/>
      <c r="H23" s="76">
        <v>200</v>
      </c>
      <c r="I23" s="76">
        <v>100</v>
      </c>
      <c r="J23" s="76">
        <v>2200</v>
      </c>
      <c r="K23" s="76">
        <v>20</v>
      </c>
      <c r="L23" s="74">
        <v>50</v>
      </c>
      <c r="M23" s="76"/>
      <c r="N23" s="97">
        <v>100</v>
      </c>
      <c r="O23" s="91">
        <f t="shared" si="2"/>
        <v>11670</v>
      </c>
    </row>
    <row r="24" spans="1:15" ht="15">
      <c r="A24" s="94" t="s">
        <v>4</v>
      </c>
      <c r="B24" s="93" t="s">
        <v>3</v>
      </c>
      <c r="C24" s="76">
        <v>18000</v>
      </c>
      <c r="D24" s="76">
        <v>200</v>
      </c>
      <c r="E24" s="76"/>
      <c r="F24" s="71"/>
      <c r="G24" s="76">
        <v>1300</v>
      </c>
      <c r="H24" s="76">
        <v>120</v>
      </c>
      <c r="I24" s="76"/>
      <c r="J24" s="76">
        <v>1258</v>
      </c>
      <c r="K24" s="76">
        <v>40</v>
      </c>
      <c r="L24" s="74">
        <v>62</v>
      </c>
      <c r="M24" s="76">
        <v>100</v>
      </c>
      <c r="N24" s="97">
        <v>70</v>
      </c>
      <c r="O24" s="91">
        <f t="shared" si="2"/>
        <v>21150</v>
      </c>
    </row>
    <row r="25" spans="1:15" ht="15">
      <c r="A25" s="94" t="s">
        <v>179</v>
      </c>
      <c r="B25" s="93" t="s">
        <v>141</v>
      </c>
      <c r="C25" s="76">
        <v>30000</v>
      </c>
      <c r="D25" s="76"/>
      <c r="E25" s="76"/>
      <c r="F25" s="71"/>
      <c r="G25" s="76">
        <v>500</v>
      </c>
      <c r="H25" s="76"/>
      <c r="I25" s="76"/>
      <c r="J25" s="76">
        <v>700</v>
      </c>
      <c r="K25" s="76"/>
      <c r="L25" s="76"/>
      <c r="M25" s="76"/>
      <c r="N25" s="71"/>
      <c r="O25" s="91">
        <f t="shared" si="2"/>
        <v>31200</v>
      </c>
    </row>
    <row r="26" spans="1:15" ht="15">
      <c r="A26" s="94" t="s">
        <v>482</v>
      </c>
      <c r="B26" s="93" t="s">
        <v>27</v>
      </c>
      <c r="C26" s="76">
        <v>420000</v>
      </c>
      <c r="D26" s="76"/>
      <c r="E26" s="76"/>
      <c r="F26" s="71"/>
      <c r="G26" s="76"/>
      <c r="H26" s="76"/>
      <c r="I26" s="76"/>
      <c r="J26" s="76"/>
      <c r="K26" s="76"/>
      <c r="L26" s="76"/>
      <c r="M26" s="76">
        <v>200</v>
      </c>
      <c r="N26" s="71"/>
      <c r="O26" s="91">
        <f t="shared" si="2"/>
        <v>420200</v>
      </c>
    </row>
    <row r="27" spans="1:15" ht="27.75" customHeight="1">
      <c r="A27" s="94" t="s">
        <v>28</v>
      </c>
      <c r="B27" s="93" t="s">
        <v>122</v>
      </c>
      <c r="C27" s="76">
        <v>30000</v>
      </c>
      <c r="D27" s="76"/>
      <c r="E27" s="76"/>
      <c r="F27" s="76"/>
      <c r="G27" s="76">
        <v>3670</v>
      </c>
      <c r="H27" s="95"/>
      <c r="I27" s="71"/>
      <c r="J27" s="76">
        <v>5502</v>
      </c>
      <c r="K27" s="71"/>
      <c r="L27" s="76"/>
      <c r="M27" s="71"/>
      <c r="N27" s="71"/>
      <c r="O27" s="91">
        <f t="shared" si="2"/>
        <v>39172</v>
      </c>
    </row>
    <row r="28" spans="1:15" ht="58.5" thickBot="1">
      <c r="A28" s="112" t="s">
        <v>288</v>
      </c>
      <c r="B28" s="113" t="s">
        <v>289</v>
      </c>
      <c r="C28" s="114">
        <v>34958</v>
      </c>
      <c r="D28" s="114"/>
      <c r="E28" s="114"/>
      <c r="F28" s="73"/>
      <c r="G28" s="114"/>
      <c r="H28" s="73"/>
      <c r="I28" s="73"/>
      <c r="J28" s="114"/>
      <c r="K28" s="73"/>
      <c r="L28" s="114"/>
      <c r="M28" s="73"/>
      <c r="N28" s="73"/>
      <c r="O28" s="91">
        <f t="shared" si="2"/>
        <v>34958</v>
      </c>
    </row>
    <row r="29" spans="1:15" ht="15.75" thickBot="1">
      <c r="A29" s="115" t="s">
        <v>29</v>
      </c>
      <c r="B29" s="84" t="s">
        <v>117</v>
      </c>
      <c r="C29" s="85">
        <f aca="true" t="shared" si="6" ref="C29:N29">SUM(C30:C30)</f>
        <v>15570452</v>
      </c>
      <c r="D29" s="85">
        <f t="shared" si="6"/>
        <v>0</v>
      </c>
      <c r="E29" s="85">
        <f t="shared" si="6"/>
        <v>0</v>
      </c>
      <c r="F29" s="86">
        <f t="shared" si="6"/>
        <v>0</v>
      </c>
      <c r="G29" s="85">
        <f t="shared" si="6"/>
        <v>0</v>
      </c>
      <c r="H29" s="85">
        <f t="shared" si="6"/>
        <v>0</v>
      </c>
      <c r="I29" s="85">
        <f t="shared" si="6"/>
        <v>0</v>
      </c>
      <c r="J29" s="85">
        <f t="shared" si="6"/>
        <v>71586</v>
      </c>
      <c r="K29" s="85">
        <f t="shared" si="6"/>
        <v>0</v>
      </c>
      <c r="L29" s="85">
        <f t="shared" si="6"/>
        <v>6740</v>
      </c>
      <c r="M29" s="85">
        <f t="shared" si="6"/>
        <v>200</v>
      </c>
      <c r="N29" s="85">
        <f t="shared" si="6"/>
        <v>0</v>
      </c>
      <c r="O29" s="87">
        <f t="shared" si="2"/>
        <v>15648978</v>
      </c>
    </row>
    <row r="30" spans="1:15" ht="15.75" customHeight="1" thickBot="1">
      <c r="A30" s="116" t="s">
        <v>195</v>
      </c>
      <c r="B30" s="117" t="s">
        <v>196</v>
      </c>
      <c r="C30" s="90">
        <v>15570452</v>
      </c>
      <c r="D30" s="90"/>
      <c r="E30" s="90"/>
      <c r="F30" s="72"/>
      <c r="G30" s="90"/>
      <c r="H30" s="72"/>
      <c r="I30" s="72"/>
      <c r="J30" s="72">
        <v>71586</v>
      </c>
      <c r="K30" s="72"/>
      <c r="L30" s="72">
        <v>6740</v>
      </c>
      <c r="M30" s="72">
        <v>200</v>
      </c>
      <c r="N30" s="72"/>
      <c r="O30" s="91">
        <f t="shared" si="2"/>
        <v>15648978</v>
      </c>
    </row>
    <row r="31" spans="1:15" ht="15.75" thickBot="1">
      <c r="A31" s="115" t="s">
        <v>30</v>
      </c>
      <c r="B31" s="84" t="s">
        <v>31</v>
      </c>
      <c r="C31" s="86">
        <f aca="true" t="shared" si="7" ref="C31:N31">SUM(C32:C33)</f>
        <v>744058</v>
      </c>
      <c r="D31" s="86">
        <f t="shared" si="7"/>
        <v>0</v>
      </c>
      <c r="E31" s="86">
        <f t="shared" si="7"/>
        <v>0</v>
      </c>
      <c r="F31" s="86">
        <f t="shared" si="7"/>
        <v>0</v>
      </c>
      <c r="G31" s="85">
        <f t="shared" si="7"/>
        <v>0</v>
      </c>
      <c r="H31" s="85">
        <f t="shared" si="7"/>
        <v>0</v>
      </c>
      <c r="I31" s="85">
        <f t="shared" si="7"/>
        <v>0</v>
      </c>
      <c r="J31" s="85">
        <f t="shared" si="7"/>
        <v>80613</v>
      </c>
      <c r="K31" s="85">
        <f t="shared" si="7"/>
        <v>0</v>
      </c>
      <c r="L31" s="85">
        <f t="shared" si="7"/>
        <v>0</v>
      </c>
      <c r="M31" s="85">
        <f t="shared" si="7"/>
        <v>0</v>
      </c>
      <c r="N31" s="85">
        <f t="shared" si="7"/>
        <v>0</v>
      </c>
      <c r="O31" s="87">
        <f t="shared" si="2"/>
        <v>824671</v>
      </c>
    </row>
    <row r="32" spans="1:15" ht="30">
      <c r="A32" s="94" t="s">
        <v>32</v>
      </c>
      <c r="B32" s="93" t="s">
        <v>197</v>
      </c>
      <c r="C32" s="71">
        <v>744058</v>
      </c>
      <c r="D32" s="71"/>
      <c r="E32" s="71"/>
      <c r="F32" s="71"/>
      <c r="G32" s="76"/>
      <c r="H32" s="71"/>
      <c r="I32" s="71"/>
      <c r="J32" s="71">
        <v>80613</v>
      </c>
      <c r="K32" s="71"/>
      <c r="L32" s="76"/>
      <c r="M32" s="71"/>
      <c r="N32" s="71"/>
      <c r="O32" s="91">
        <f aca="true" t="shared" si="8" ref="O32:O49">SUM(C32:N32)</f>
        <v>824671</v>
      </c>
    </row>
    <row r="33" spans="1:15" ht="26.25" customHeight="1" thickBot="1">
      <c r="A33" s="103" t="s">
        <v>180</v>
      </c>
      <c r="B33" s="93" t="s">
        <v>322</v>
      </c>
      <c r="C33" s="70"/>
      <c r="D33" s="70"/>
      <c r="E33" s="70"/>
      <c r="F33" s="105"/>
      <c r="G33" s="101"/>
      <c r="H33" s="70"/>
      <c r="I33" s="70"/>
      <c r="J33" s="70"/>
      <c r="K33" s="105"/>
      <c r="L33" s="118"/>
      <c r="M33" s="119"/>
      <c r="N33" s="120"/>
      <c r="O33" s="102">
        <f t="shared" si="8"/>
        <v>0</v>
      </c>
    </row>
    <row r="34" spans="1:15" ht="15.75" thickBot="1">
      <c r="A34" s="115" t="s">
        <v>33</v>
      </c>
      <c r="B34" s="84" t="s">
        <v>34</v>
      </c>
      <c r="C34" s="86">
        <f>SUM(C35,C36,C43)</f>
        <v>525334</v>
      </c>
      <c r="D34" s="86">
        <f aca="true" t="shared" si="9" ref="D34:N34">SUM(D35,D36,D43)</f>
        <v>2183020</v>
      </c>
      <c r="E34" s="86">
        <f t="shared" si="9"/>
        <v>285424</v>
      </c>
      <c r="F34" s="86">
        <f t="shared" si="9"/>
        <v>265710</v>
      </c>
      <c r="G34" s="86">
        <f>SUM(G35,G36,G43)</f>
        <v>61480</v>
      </c>
      <c r="H34" s="86">
        <f t="shared" si="9"/>
        <v>99340</v>
      </c>
      <c r="I34" s="86">
        <f t="shared" si="9"/>
        <v>109956</v>
      </c>
      <c r="J34" s="86">
        <f t="shared" si="9"/>
        <v>649859</v>
      </c>
      <c r="K34" s="86">
        <f t="shared" si="9"/>
        <v>10382</v>
      </c>
      <c r="L34" s="86">
        <f t="shared" si="9"/>
        <v>16417</v>
      </c>
      <c r="M34" s="86">
        <f t="shared" si="9"/>
        <v>12200</v>
      </c>
      <c r="N34" s="86">
        <f t="shared" si="9"/>
        <v>43000</v>
      </c>
      <c r="O34" s="87">
        <f>SUM(C34:N34)</f>
        <v>4262122</v>
      </c>
    </row>
    <row r="35" spans="1:15" ht="31.5">
      <c r="A35" s="121" t="s">
        <v>181</v>
      </c>
      <c r="B35" s="122" t="s">
        <v>182</v>
      </c>
      <c r="C35" s="123">
        <v>97997</v>
      </c>
      <c r="D35" s="90"/>
      <c r="E35" s="72"/>
      <c r="F35" s="72"/>
      <c r="G35" s="90"/>
      <c r="H35" s="90"/>
      <c r="I35" s="90"/>
      <c r="J35" s="90"/>
      <c r="K35" s="90"/>
      <c r="L35" s="90"/>
      <c r="M35" s="90"/>
      <c r="N35" s="72"/>
      <c r="O35" s="91">
        <f t="shared" si="8"/>
        <v>97997</v>
      </c>
    </row>
    <row r="36" spans="1:15" ht="43.5">
      <c r="A36" s="124" t="s">
        <v>16</v>
      </c>
      <c r="B36" s="125" t="s">
        <v>198</v>
      </c>
      <c r="C36" s="127">
        <f aca="true" t="shared" si="10" ref="C36:I36">SUM(C37:C42)</f>
        <v>427337</v>
      </c>
      <c r="D36" s="127">
        <f t="shared" si="10"/>
        <v>2182020</v>
      </c>
      <c r="E36" s="127">
        <f t="shared" si="10"/>
        <v>285424</v>
      </c>
      <c r="F36" s="127">
        <f t="shared" si="10"/>
        <v>265710</v>
      </c>
      <c r="G36" s="127">
        <f t="shared" si="10"/>
        <v>61480</v>
      </c>
      <c r="H36" s="126">
        <f t="shared" si="10"/>
        <v>98340</v>
      </c>
      <c r="I36" s="127">
        <f t="shared" si="10"/>
        <v>109956</v>
      </c>
      <c r="J36" s="127">
        <f>SUM(J37:J42)</f>
        <v>649859</v>
      </c>
      <c r="K36" s="127">
        <f>SUM(K37:K42)</f>
        <v>10382</v>
      </c>
      <c r="L36" s="127">
        <f>SUM(L37:L42)</f>
        <v>16417</v>
      </c>
      <c r="M36" s="127">
        <f>SUM(M37:M42)</f>
        <v>12200</v>
      </c>
      <c r="N36" s="126">
        <f>SUM(N37:N42)</f>
        <v>43000</v>
      </c>
      <c r="O36" s="91">
        <f>SUM(C36:N36)</f>
        <v>4162125</v>
      </c>
    </row>
    <row r="37" spans="1:15" ht="30">
      <c r="A37" s="92" t="s">
        <v>393</v>
      </c>
      <c r="B37" s="93" t="s">
        <v>394</v>
      </c>
      <c r="C37" s="128"/>
      <c r="D37" s="128"/>
      <c r="E37" s="126"/>
      <c r="F37" s="79"/>
      <c r="G37" s="127"/>
      <c r="H37" s="126"/>
      <c r="I37" s="127"/>
      <c r="J37" s="95">
        <v>170</v>
      </c>
      <c r="K37" s="127"/>
      <c r="L37" s="126"/>
      <c r="M37" s="127"/>
      <c r="N37" s="126"/>
      <c r="O37" s="91">
        <f t="shared" si="8"/>
        <v>170</v>
      </c>
    </row>
    <row r="38" spans="1:15" ht="15">
      <c r="A38" s="92" t="s">
        <v>171</v>
      </c>
      <c r="B38" s="93" t="s">
        <v>172</v>
      </c>
      <c r="C38" s="74">
        <v>183520</v>
      </c>
      <c r="D38" s="74"/>
      <c r="E38" s="95"/>
      <c r="F38" s="71"/>
      <c r="G38" s="76">
        <v>46500</v>
      </c>
      <c r="H38" s="127"/>
      <c r="I38" s="76">
        <v>12716</v>
      </c>
      <c r="J38" s="76">
        <v>65526</v>
      </c>
      <c r="K38" s="127"/>
      <c r="L38" s="127"/>
      <c r="M38" s="127"/>
      <c r="N38" s="79">
        <v>5000</v>
      </c>
      <c r="O38" s="91">
        <f t="shared" si="8"/>
        <v>313262</v>
      </c>
    </row>
    <row r="39" spans="1:15" ht="15">
      <c r="A39" s="92" t="s">
        <v>146</v>
      </c>
      <c r="B39" s="93" t="s">
        <v>147</v>
      </c>
      <c r="C39" s="76"/>
      <c r="D39" s="76"/>
      <c r="E39" s="76"/>
      <c r="F39" s="71"/>
      <c r="G39" s="76"/>
      <c r="H39" s="76"/>
      <c r="I39" s="76"/>
      <c r="J39" s="76"/>
      <c r="K39" s="76"/>
      <c r="L39" s="76"/>
      <c r="M39" s="76"/>
      <c r="N39" s="71"/>
      <c r="O39" s="91">
        <f t="shared" si="8"/>
        <v>0</v>
      </c>
    </row>
    <row r="40" spans="1:15" ht="30">
      <c r="A40" s="92" t="s">
        <v>148</v>
      </c>
      <c r="B40" s="93" t="s">
        <v>149</v>
      </c>
      <c r="C40" s="76"/>
      <c r="D40" s="76"/>
      <c r="E40" s="76"/>
      <c r="F40" s="71"/>
      <c r="G40" s="76"/>
      <c r="H40" s="76">
        <v>10</v>
      </c>
      <c r="I40" s="76"/>
      <c r="J40" s="76">
        <v>30</v>
      </c>
      <c r="K40" s="76"/>
      <c r="L40" s="76"/>
      <c r="M40" s="76"/>
      <c r="N40" s="71"/>
      <c r="O40" s="91">
        <f t="shared" si="8"/>
        <v>40</v>
      </c>
    </row>
    <row r="41" spans="1:15" ht="15">
      <c r="A41" s="92" t="s">
        <v>35</v>
      </c>
      <c r="B41" s="93" t="s">
        <v>36</v>
      </c>
      <c r="C41" s="76">
        <v>217117</v>
      </c>
      <c r="D41" s="76">
        <v>41028</v>
      </c>
      <c r="E41" s="76">
        <v>77944</v>
      </c>
      <c r="F41" s="76">
        <v>16153</v>
      </c>
      <c r="G41" s="74">
        <v>4980</v>
      </c>
      <c r="H41" s="76">
        <v>10310</v>
      </c>
      <c r="I41" s="76">
        <v>6050</v>
      </c>
      <c r="J41" s="76">
        <v>23683</v>
      </c>
      <c r="K41" s="129">
        <v>2925</v>
      </c>
      <c r="L41" s="76">
        <v>3240</v>
      </c>
      <c r="M41" s="76">
        <v>3200</v>
      </c>
      <c r="N41" s="97">
        <v>6000</v>
      </c>
      <c r="O41" s="91">
        <f t="shared" si="8"/>
        <v>412630</v>
      </c>
    </row>
    <row r="42" spans="1:15" ht="30">
      <c r="A42" s="92" t="s">
        <v>37</v>
      </c>
      <c r="B42" s="93" t="s">
        <v>38</v>
      </c>
      <c r="C42" s="76">
        <v>26700</v>
      </c>
      <c r="D42" s="76">
        <v>2140992</v>
      </c>
      <c r="E42" s="76">
        <v>207480</v>
      </c>
      <c r="F42" s="76">
        <v>249557</v>
      </c>
      <c r="G42" s="130">
        <v>10000</v>
      </c>
      <c r="H42" s="74">
        <v>88020</v>
      </c>
      <c r="I42" s="76">
        <v>91190</v>
      </c>
      <c r="J42" s="74">
        <v>560450</v>
      </c>
      <c r="K42" s="129">
        <v>7457</v>
      </c>
      <c r="L42" s="74">
        <v>13177</v>
      </c>
      <c r="M42" s="76">
        <v>9000</v>
      </c>
      <c r="N42" s="97">
        <v>32000</v>
      </c>
      <c r="O42" s="91">
        <f>SUM(C42:N42)</f>
        <v>3436023</v>
      </c>
    </row>
    <row r="43" spans="1:15" ht="30" thickBot="1">
      <c r="A43" s="124" t="s">
        <v>300</v>
      </c>
      <c r="B43" s="125" t="s">
        <v>301</v>
      </c>
      <c r="C43" s="114"/>
      <c r="D43" s="114">
        <v>1000</v>
      </c>
      <c r="E43" s="114"/>
      <c r="F43" s="73"/>
      <c r="G43" s="131"/>
      <c r="H43" s="114">
        <v>1000</v>
      </c>
      <c r="I43" s="132"/>
      <c r="J43" s="132"/>
      <c r="K43" s="132"/>
      <c r="L43" s="132"/>
      <c r="M43" s="132"/>
      <c r="N43" s="132"/>
      <c r="O43" s="91">
        <f>SUM(C43:N43)</f>
        <v>2000</v>
      </c>
    </row>
    <row r="44" spans="1:15" ht="15.75" thickBot="1">
      <c r="A44" s="133"/>
      <c r="B44" s="134" t="s">
        <v>39</v>
      </c>
      <c r="C44" s="135">
        <f aca="true" t="shared" si="11" ref="C44:N44">SUM(C8+C19+C28+C29+C31+C34)</f>
        <v>42058309</v>
      </c>
      <c r="D44" s="135">
        <f t="shared" si="11"/>
        <v>2183220</v>
      </c>
      <c r="E44" s="135">
        <f t="shared" si="11"/>
        <v>285424</v>
      </c>
      <c r="F44" s="136">
        <f t="shared" si="11"/>
        <v>265710</v>
      </c>
      <c r="G44" s="135">
        <f t="shared" si="11"/>
        <v>176800</v>
      </c>
      <c r="H44" s="135">
        <f t="shared" si="11"/>
        <v>149800</v>
      </c>
      <c r="I44" s="135">
        <f t="shared" si="11"/>
        <v>154756</v>
      </c>
      <c r="J44" s="135">
        <f t="shared" si="11"/>
        <v>914786</v>
      </c>
      <c r="K44" s="135">
        <f t="shared" si="11"/>
        <v>65442</v>
      </c>
      <c r="L44" s="135">
        <f t="shared" si="11"/>
        <v>68869</v>
      </c>
      <c r="M44" s="135">
        <f t="shared" si="11"/>
        <v>59523</v>
      </c>
      <c r="N44" s="135">
        <f t="shared" si="11"/>
        <v>103342</v>
      </c>
      <c r="O44" s="87">
        <f>SUM(C44:N44)</f>
        <v>46485981</v>
      </c>
    </row>
    <row r="45" spans="1:15" ht="15">
      <c r="A45" s="137" t="s">
        <v>150</v>
      </c>
      <c r="B45" s="138" t="s">
        <v>17</v>
      </c>
      <c r="C45" s="137">
        <v>9743892</v>
      </c>
      <c r="D45" s="90"/>
      <c r="E45" s="90"/>
      <c r="F45" s="72"/>
      <c r="G45" s="90"/>
      <c r="H45" s="90"/>
      <c r="I45" s="90"/>
      <c r="J45" s="90"/>
      <c r="K45" s="90"/>
      <c r="L45" s="90"/>
      <c r="M45" s="72"/>
      <c r="N45" s="90"/>
      <c r="O45" s="91">
        <f t="shared" si="8"/>
        <v>9743892</v>
      </c>
    </row>
    <row r="46" spans="1:15" ht="15">
      <c r="A46" s="139"/>
      <c r="B46" s="140" t="s">
        <v>40</v>
      </c>
      <c r="C46" s="141">
        <f aca="true" t="shared" si="12" ref="C46:N46">SUM(C44:C45)</f>
        <v>51802201</v>
      </c>
      <c r="D46" s="139">
        <f t="shared" si="12"/>
        <v>2183220</v>
      </c>
      <c r="E46" s="139">
        <f t="shared" si="12"/>
        <v>285424</v>
      </c>
      <c r="F46" s="142">
        <f t="shared" si="12"/>
        <v>265710</v>
      </c>
      <c r="G46" s="139">
        <f t="shared" si="12"/>
        <v>176800</v>
      </c>
      <c r="H46" s="139">
        <f t="shared" si="12"/>
        <v>149800</v>
      </c>
      <c r="I46" s="139">
        <f t="shared" si="12"/>
        <v>154756</v>
      </c>
      <c r="J46" s="139">
        <f t="shared" si="12"/>
        <v>914786</v>
      </c>
      <c r="K46" s="139">
        <f t="shared" si="12"/>
        <v>65442</v>
      </c>
      <c r="L46" s="139">
        <f t="shared" si="12"/>
        <v>68869</v>
      </c>
      <c r="M46" s="142">
        <f t="shared" si="12"/>
        <v>59523</v>
      </c>
      <c r="N46" s="139">
        <f t="shared" si="12"/>
        <v>103342</v>
      </c>
      <c r="O46" s="91">
        <f t="shared" si="8"/>
        <v>56229873</v>
      </c>
    </row>
    <row r="47" spans="1:15" ht="18" customHeight="1">
      <c r="A47" s="143" t="s">
        <v>298</v>
      </c>
      <c r="B47" s="144" t="s">
        <v>388</v>
      </c>
      <c r="C47" s="78">
        <f>9780793</f>
        <v>9780793</v>
      </c>
      <c r="D47" s="76">
        <v>2073288</v>
      </c>
      <c r="E47" s="76">
        <v>127045</v>
      </c>
      <c r="F47" s="76">
        <v>77341</v>
      </c>
      <c r="G47" s="74">
        <v>282203</v>
      </c>
      <c r="H47" s="76">
        <v>50867</v>
      </c>
      <c r="I47" s="76">
        <v>174925</v>
      </c>
      <c r="J47" s="76">
        <f>293443+4128</f>
        <v>297571</v>
      </c>
      <c r="K47" s="129">
        <v>84426</v>
      </c>
      <c r="L47" s="76">
        <v>19232</v>
      </c>
      <c r="M47" s="76">
        <v>39166</v>
      </c>
      <c r="N47" s="76">
        <v>59889</v>
      </c>
      <c r="O47" s="91">
        <f t="shared" si="8"/>
        <v>13066746</v>
      </c>
    </row>
    <row r="48" spans="1:15" ht="15">
      <c r="A48" s="143" t="s">
        <v>183</v>
      </c>
      <c r="B48" s="145" t="s">
        <v>184</v>
      </c>
      <c r="C48" s="78"/>
      <c r="D48" s="76"/>
      <c r="E48" s="76"/>
      <c r="F48" s="71"/>
      <c r="G48" s="76"/>
      <c r="H48" s="76"/>
      <c r="I48" s="76"/>
      <c r="J48" s="76"/>
      <c r="K48" s="76"/>
      <c r="L48" s="76"/>
      <c r="M48" s="71"/>
      <c r="N48" s="76"/>
      <c r="O48" s="91">
        <f t="shared" si="8"/>
        <v>0</v>
      </c>
    </row>
    <row r="49" spans="1:15" ht="15">
      <c r="A49" s="139"/>
      <c r="B49" s="144" t="s">
        <v>41</v>
      </c>
      <c r="C49" s="141">
        <f>SUM(C46:C47)</f>
        <v>61582994</v>
      </c>
      <c r="D49" s="139">
        <f>SUM(D46:D47)</f>
        <v>4256508</v>
      </c>
      <c r="E49" s="139">
        <f>SUM(E46:E47)</f>
        <v>412469</v>
      </c>
      <c r="F49" s="142">
        <f aca="true" t="shared" si="13" ref="F49:N49">SUM(F46:F48)</f>
        <v>343051</v>
      </c>
      <c r="G49" s="139">
        <f t="shared" si="13"/>
        <v>459003</v>
      </c>
      <c r="H49" s="139">
        <f t="shared" si="13"/>
        <v>200667</v>
      </c>
      <c r="I49" s="139">
        <f t="shared" si="13"/>
        <v>329681</v>
      </c>
      <c r="J49" s="139">
        <f t="shared" si="13"/>
        <v>1212357</v>
      </c>
      <c r="K49" s="139">
        <f t="shared" si="13"/>
        <v>149868</v>
      </c>
      <c r="L49" s="139">
        <f t="shared" si="13"/>
        <v>88101</v>
      </c>
      <c r="M49" s="139">
        <f t="shared" si="13"/>
        <v>98689</v>
      </c>
      <c r="N49" s="139">
        <f t="shared" si="13"/>
        <v>163231</v>
      </c>
      <c r="O49" s="91">
        <f t="shared" si="8"/>
        <v>69296619</v>
      </c>
    </row>
    <row r="50" spans="1:15" ht="15">
      <c r="A50" s="20"/>
      <c r="B50" s="42"/>
      <c r="C50" s="19"/>
      <c r="D50" s="20"/>
      <c r="E50" s="20"/>
      <c r="F50" s="20"/>
      <c r="G50" s="28"/>
      <c r="H50" s="28"/>
      <c r="I50" s="28"/>
      <c r="J50" s="28"/>
      <c r="K50" s="28"/>
      <c r="L50" s="28"/>
      <c r="M50" s="28"/>
      <c r="N50" s="28"/>
      <c r="O50" s="28"/>
    </row>
    <row r="51" spans="1:15" ht="15">
      <c r="A51" s="20"/>
      <c r="B51" s="42"/>
      <c r="C51" s="43"/>
      <c r="D51" s="20"/>
      <c r="E51" s="20"/>
      <c r="F51" s="20"/>
      <c r="G51" s="28"/>
      <c r="H51" s="28"/>
      <c r="I51" s="28"/>
      <c r="J51" s="28"/>
      <c r="K51" s="28"/>
      <c r="L51" s="28"/>
      <c r="M51" s="28"/>
      <c r="N51" s="28"/>
      <c r="O51" s="28"/>
    </row>
    <row r="52" spans="1:15" ht="15">
      <c r="A52" s="29"/>
      <c r="B52" s="2" t="s">
        <v>297</v>
      </c>
      <c r="C52" s="29"/>
      <c r="D52" s="29" t="s">
        <v>15</v>
      </c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7"/>
    </row>
    <row r="53" spans="1:15" ht="15">
      <c r="A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7"/>
    </row>
    <row r="54" spans="1:15" ht="15">
      <c r="A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7"/>
    </row>
    <row r="55" spans="1:15" ht="15">
      <c r="A55" s="20"/>
      <c r="B55" s="42"/>
      <c r="C55" s="29"/>
      <c r="D55" s="44"/>
      <c r="E55" s="45"/>
      <c r="F55" s="45"/>
      <c r="G55" s="29"/>
      <c r="H55" s="29"/>
      <c r="I55" s="29"/>
      <c r="J55" s="29"/>
      <c r="K55" s="29"/>
      <c r="L55" s="29"/>
      <c r="M55" s="29"/>
      <c r="N55" s="81" t="s">
        <v>123</v>
      </c>
      <c r="O55" s="27"/>
    </row>
    <row r="56" spans="1:15" ht="15">
      <c r="A56" s="20"/>
      <c r="B56" s="42"/>
      <c r="C56" s="29"/>
      <c r="D56" s="29"/>
      <c r="E56" s="46"/>
      <c r="F56" s="46"/>
      <c r="G56" s="29"/>
      <c r="H56" s="29"/>
      <c r="I56" s="29"/>
      <c r="J56" s="29"/>
      <c r="K56" s="29"/>
      <c r="L56" s="29"/>
      <c r="M56" s="29"/>
      <c r="N56" s="81" t="s">
        <v>168</v>
      </c>
      <c r="O56" s="27"/>
    </row>
    <row r="57" spans="1:15" ht="15">
      <c r="A57" s="47"/>
      <c r="B57" s="22"/>
      <c r="C57" s="29"/>
      <c r="D57" s="29"/>
      <c r="E57" s="46"/>
      <c r="F57" s="46"/>
      <c r="G57" s="29"/>
      <c r="H57" s="29"/>
      <c r="I57" s="29"/>
      <c r="J57" s="29"/>
      <c r="K57" s="29"/>
      <c r="L57" s="29"/>
      <c r="M57" s="29"/>
      <c r="N57" s="81" t="s">
        <v>483</v>
      </c>
      <c r="O57" s="27"/>
    </row>
    <row r="58" spans="1:15" ht="15">
      <c r="A58" s="47"/>
      <c r="B58" s="22"/>
      <c r="C58" s="29"/>
      <c r="D58" s="29"/>
      <c r="E58" s="46"/>
      <c r="F58" s="46"/>
      <c r="G58" s="29"/>
      <c r="H58" s="29"/>
      <c r="I58" s="29"/>
      <c r="J58" s="29"/>
      <c r="K58" s="29"/>
      <c r="L58" s="29"/>
      <c r="M58" s="29"/>
      <c r="N58" s="29"/>
      <c r="O58" s="27"/>
    </row>
    <row r="59" spans="1:15" ht="39.75" customHeight="1" thickBot="1">
      <c r="A59" s="278" t="s">
        <v>390</v>
      </c>
      <c r="B59" s="278"/>
      <c r="C59" s="278"/>
      <c r="D59" s="27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7"/>
    </row>
    <row r="60" spans="1:15" ht="90.75" thickBot="1">
      <c r="A60" s="147" t="s">
        <v>0</v>
      </c>
      <c r="B60" s="148" t="s">
        <v>142</v>
      </c>
      <c r="C60" s="149" t="s">
        <v>376</v>
      </c>
      <c r="D60" s="150" t="s">
        <v>375</v>
      </c>
      <c r="E60" s="149" t="s">
        <v>377</v>
      </c>
      <c r="F60" s="149" t="s">
        <v>378</v>
      </c>
      <c r="G60" s="151" t="s">
        <v>379</v>
      </c>
      <c r="H60" s="151" t="s">
        <v>380</v>
      </c>
      <c r="I60" s="151" t="s">
        <v>381</v>
      </c>
      <c r="J60" s="151" t="s">
        <v>382</v>
      </c>
      <c r="K60" s="151" t="s">
        <v>383</v>
      </c>
      <c r="L60" s="151" t="s">
        <v>384</v>
      </c>
      <c r="M60" s="151" t="s">
        <v>385</v>
      </c>
      <c r="N60" s="152" t="s">
        <v>386</v>
      </c>
      <c r="O60" s="153" t="s">
        <v>387</v>
      </c>
    </row>
    <row r="61" spans="1:16" ht="15.75" thickBot="1">
      <c r="A61" s="154" t="s">
        <v>42</v>
      </c>
      <c r="B61" s="155" t="s">
        <v>43</v>
      </c>
      <c r="C61" s="156">
        <f>C62+C63+C65+C66+C70</f>
        <v>4518815</v>
      </c>
      <c r="D61" s="156">
        <f aca="true" t="shared" si="14" ref="D61:N61">D62+D63+D65+D66+D70</f>
        <v>0</v>
      </c>
      <c r="E61" s="156">
        <f t="shared" si="14"/>
        <v>0</v>
      </c>
      <c r="F61" s="156">
        <f t="shared" si="14"/>
        <v>0</v>
      </c>
      <c r="G61" s="156">
        <f t="shared" si="14"/>
        <v>151143</v>
      </c>
      <c r="H61" s="156">
        <f t="shared" si="14"/>
        <v>80253</v>
      </c>
      <c r="I61" s="156">
        <f t="shared" si="14"/>
        <v>118389</v>
      </c>
      <c r="J61" s="156">
        <f t="shared" si="14"/>
        <v>174982</v>
      </c>
      <c r="K61" s="156">
        <f t="shared" si="14"/>
        <v>110380</v>
      </c>
      <c r="L61" s="156">
        <f t="shared" si="14"/>
        <v>61666</v>
      </c>
      <c r="M61" s="156">
        <f t="shared" si="14"/>
        <v>67914</v>
      </c>
      <c r="N61" s="156">
        <f t="shared" si="14"/>
        <v>109989</v>
      </c>
      <c r="O61" s="157">
        <f>SUM(C61:N61)</f>
        <v>5393531</v>
      </c>
      <c r="P61" s="23"/>
    </row>
    <row r="62" spans="1:16" ht="29.25">
      <c r="A62" s="158" t="s">
        <v>281</v>
      </c>
      <c r="B62" s="159" t="s">
        <v>206</v>
      </c>
      <c r="C62" s="160">
        <v>2848722</v>
      </c>
      <c r="D62" s="161"/>
      <c r="E62" s="161"/>
      <c r="F62" s="162"/>
      <c r="G62" s="163">
        <v>151143</v>
      </c>
      <c r="H62" s="164">
        <v>80073</v>
      </c>
      <c r="I62" s="163">
        <v>115459</v>
      </c>
      <c r="J62" s="164">
        <f>160256+34</f>
        <v>160290</v>
      </c>
      <c r="K62" s="163">
        <v>110380</v>
      </c>
      <c r="L62" s="163">
        <v>61606</v>
      </c>
      <c r="M62" s="163">
        <v>67614</v>
      </c>
      <c r="N62" s="165">
        <v>109429</v>
      </c>
      <c r="O62" s="166">
        <f>SUM(C62:N62)</f>
        <v>3704716</v>
      </c>
      <c r="P62" s="23"/>
    </row>
    <row r="63" spans="1:16" ht="15">
      <c r="A63" s="171" t="s">
        <v>44</v>
      </c>
      <c r="B63" s="172" t="s">
        <v>45</v>
      </c>
      <c r="C63" s="173">
        <f>SUM(C64:C64)</f>
        <v>144787</v>
      </c>
      <c r="D63" s="173">
        <f>SUM(D64:D64)</f>
        <v>0</v>
      </c>
      <c r="E63" s="169"/>
      <c r="F63" s="173"/>
      <c r="G63" s="169">
        <f aca="true" t="shared" si="15" ref="G63:N63">SUM(G64:G64)</f>
        <v>0</v>
      </c>
      <c r="H63" s="169">
        <f t="shared" si="15"/>
        <v>180</v>
      </c>
      <c r="I63" s="169">
        <f t="shared" si="15"/>
        <v>350</v>
      </c>
      <c r="J63" s="173">
        <f t="shared" si="15"/>
        <v>152</v>
      </c>
      <c r="K63" s="173">
        <f t="shared" si="15"/>
        <v>0</v>
      </c>
      <c r="L63" s="173">
        <f t="shared" si="15"/>
        <v>60</v>
      </c>
      <c r="M63" s="173">
        <f t="shared" si="15"/>
        <v>300</v>
      </c>
      <c r="N63" s="173">
        <f t="shared" si="15"/>
        <v>560</v>
      </c>
      <c r="O63" s="174">
        <f aca="true" t="shared" si="16" ref="O63:O100">SUM(C63:N63)</f>
        <v>146389</v>
      </c>
      <c r="P63" s="23"/>
    </row>
    <row r="64" spans="1:16" ht="30">
      <c r="A64" s="175" t="s">
        <v>46</v>
      </c>
      <c r="B64" s="176" t="s">
        <v>114</v>
      </c>
      <c r="C64" s="177">
        <v>144787</v>
      </c>
      <c r="D64" s="178"/>
      <c r="E64" s="178"/>
      <c r="F64" s="177"/>
      <c r="G64" s="178"/>
      <c r="H64" s="178">
        <v>180</v>
      </c>
      <c r="I64" s="178">
        <v>350</v>
      </c>
      <c r="J64" s="178">
        <v>152</v>
      </c>
      <c r="K64" s="178"/>
      <c r="L64" s="178">
        <v>60</v>
      </c>
      <c r="M64" s="178">
        <v>300</v>
      </c>
      <c r="N64" s="178">
        <v>560</v>
      </c>
      <c r="O64" s="174">
        <f t="shared" si="16"/>
        <v>146389</v>
      </c>
      <c r="P64" s="23"/>
    </row>
    <row r="65" spans="1:16" ht="29.25">
      <c r="A65" s="171" t="s">
        <v>207</v>
      </c>
      <c r="B65" s="179" t="s">
        <v>208</v>
      </c>
      <c r="C65" s="177">
        <v>14800</v>
      </c>
      <c r="D65" s="177"/>
      <c r="E65" s="178"/>
      <c r="F65" s="177"/>
      <c r="G65" s="178"/>
      <c r="H65" s="178"/>
      <c r="I65" s="178"/>
      <c r="J65" s="177"/>
      <c r="K65" s="177"/>
      <c r="L65" s="177"/>
      <c r="M65" s="177"/>
      <c r="N65" s="177"/>
      <c r="O65" s="174">
        <f t="shared" si="16"/>
        <v>14800</v>
      </c>
      <c r="P65" s="23"/>
    </row>
    <row r="66" spans="1:16" ht="29.25">
      <c r="A66" s="171" t="s">
        <v>47</v>
      </c>
      <c r="B66" s="179" t="s">
        <v>48</v>
      </c>
      <c r="C66" s="173">
        <f>SUM(C67:C69)</f>
        <v>895506</v>
      </c>
      <c r="D66" s="173">
        <f aca="true" t="shared" si="17" ref="D66:N66">SUM(D67:D69)</f>
        <v>0</v>
      </c>
      <c r="E66" s="173">
        <f t="shared" si="17"/>
        <v>0</v>
      </c>
      <c r="F66" s="173">
        <f t="shared" si="17"/>
        <v>0</v>
      </c>
      <c r="G66" s="169">
        <f t="shared" si="17"/>
        <v>0</v>
      </c>
      <c r="H66" s="173">
        <f t="shared" si="17"/>
        <v>0</v>
      </c>
      <c r="I66" s="173">
        <f t="shared" si="17"/>
        <v>0</v>
      </c>
      <c r="J66" s="173">
        <f t="shared" si="17"/>
        <v>0</v>
      </c>
      <c r="K66" s="173">
        <f t="shared" si="17"/>
        <v>0</v>
      </c>
      <c r="L66" s="173">
        <f t="shared" si="17"/>
        <v>0</v>
      </c>
      <c r="M66" s="173">
        <f t="shared" si="17"/>
        <v>0</v>
      </c>
      <c r="N66" s="173">
        <f t="shared" si="17"/>
        <v>0</v>
      </c>
      <c r="O66" s="174">
        <f>SUM(C66:N66)</f>
        <v>895506</v>
      </c>
      <c r="P66" s="23"/>
    </row>
    <row r="67" spans="1:16" ht="30">
      <c r="A67" s="180" t="s">
        <v>327</v>
      </c>
      <c r="B67" s="176" t="s">
        <v>49</v>
      </c>
      <c r="C67" s="177">
        <v>600000</v>
      </c>
      <c r="D67" s="178"/>
      <c r="E67" s="178"/>
      <c r="F67" s="177"/>
      <c r="G67" s="178"/>
      <c r="H67" s="178"/>
      <c r="I67" s="178"/>
      <c r="J67" s="178"/>
      <c r="K67" s="178"/>
      <c r="L67" s="178"/>
      <c r="M67" s="178"/>
      <c r="N67" s="177"/>
      <c r="O67" s="174">
        <f t="shared" si="16"/>
        <v>600000</v>
      </c>
      <c r="P67" s="23"/>
    </row>
    <row r="68" spans="1:16" ht="30">
      <c r="A68" s="180" t="s">
        <v>328</v>
      </c>
      <c r="B68" s="176" t="s">
        <v>324</v>
      </c>
      <c r="C68" s="177">
        <v>145506</v>
      </c>
      <c r="D68" s="178"/>
      <c r="E68" s="178"/>
      <c r="F68" s="177"/>
      <c r="G68" s="178"/>
      <c r="H68" s="178">
        <f>17331-17331</f>
        <v>0</v>
      </c>
      <c r="I68" s="178"/>
      <c r="J68" s="178"/>
      <c r="K68" s="178"/>
      <c r="L68" s="178"/>
      <c r="M68" s="178"/>
      <c r="N68" s="177">
        <f>12000-12000</f>
        <v>0</v>
      </c>
      <c r="O68" s="174">
        <f t="shared" si="16"/>
        <v>145506</v>
      </c>
      <c r="P68" s="23"/>
    </row>
    <row r="69" spans="1:16" ht="45">
      <c r="A69" s="180" t="s">
        <v>329</v>
      </c>
      <c r="B69" s="181" t="s">
        <v>290</v>
      </c>
      <c r="C69" s="182">
        <v>150000</v>
      </c>
      <c r="D69" s="183"/>
      <c r="E69" s="183"/>
      <c r="F69" s="182"/>
      <c r="G69" s="183"/>
      <c r="H69" s="183"/>
      <c r="I69" s="183"/>
      <c r="J69" s="183"/>
      <c r="K69" s="183"/>
      <c r="L69" s="183"/>
      <c r="M69" s="183"/>
      <c r="N69" s="182"/>
      <c r="O69" s="174">
        <f t="shared" si="16"/>
        <v>150000</v>
      </c>
      <c r="P69" s="23"/>
    </row>
    <row r="70" spans="1:16" s="5" customFormat="1" ht="15.75" thickBot="1">
      <c r="A70" s="184" t="s">
        <v>50</v>
      </c>
      <c r="B70" s="185" t="s">
        <v>209</v>
      </c>
      <c r="C70" s="186">
        <v>615000</v>
      </c>
      <c r="D70" s="187"/>
      <c r="E70" s="187"/>
      <c r="F70" s="186"/>
      <c r="G70" s="188"/>
      <c r="H70" s="187"/>
      <c r="I70" s="187">
        <v>2580</v>
      </c>
      <c r="J70" s="187">
        <v>14540</v>
      </c>
      <c r="K70" s="187"/>
      <c r="L70" s="187"/>
      <c r="M70" s="187"/>
      <c r="N70" s="186"/>
      <c r="O70" s="189">
        <f t="shared" si="16"/>
        <v>632120</v>
      </c>
      <c r="P70" s="23"/>
    </row>
    <row r="71" spans="1:16" ht="15.75" thickBot="1">
      <c r="A71" s="190" t="s">
        <v>51</v>
      </c>
      <c r="B71" s="155" t="s">
        <v>52</v>
      </c>
      <c r="C71" s="156">
        <f>SUM(C72:C73,C75:C76)</f>
        <v>663372</v>
      </c>
      <c r="D71" s="156">
        <f aca="true" t="shared" si="18" ref="D71:N71">SUM(D72:D73,D75:D76)</f>
        <v>0</v>
      </c>
      <c r="E71" s="156">
        <f t="shared" si="18"/>
        <v>0</v>
      </c>
      <c r="F71" s="156">
        <f t="shared" si="18"/>
        <v>0</v>
      </c>
      <c r="G71" s="156">
        <f t="shared" si="18"/>
        <v>7382</v>
      </c>
      <c r="H71" s="156">
        <f t="shared" si="18"/>
        <v>0</v>
      </c>
      <c r="I71" s="156">
        <f t="shared" si="18"/>
        <v>0</v>
      </c>
      <c r="J71" s="156">
        <f t="shared" si="18"/>
        <v>5200</v>
      </c>
      <c r="K71" s="156">
        <f t="shared" si="18"/>
        <v>0</v>
      </c>
      <c r="L71" s="156">
        <f t="shared" si="18"/>
        <v>0</v>
      </c>
      <c r="M71" s="156">
        <f t="shared" si="18"/>
        <v>0</v>
      </c>
      <c r="N71" s="156">
        <f t="shared" si="18"/>
        <v>700</v>
      </c>
      <c r="O71" s="157">
        <f t="shared" si="16"/>
        <v>676654</v>
      </c>
      <c r="P71" s="23"/>
    </row>
    <row r="72" spans="1:16" ht="15">
      <c r="A72" s="158" t="s">
        <v>205</v>
      </c>
      <c r="B72" s="159" t="s">
        <v>13</v>
      </c>
      <c r="C72" s="167">
        <f>594629-30000</f>
        <v>564629</v>
      </c>
      <c r="D72" s="161"/>
      <c r="E72" s="161"/>
      <c r="F72" s="167"/>
      <c r="G72" s="161"/>
      <c r="H72" s="161"/>
      <c r="I72" s="161"/>
      <c r="J72" s="161"/>
      <c r="K72" s="161"/>
      <c r="L72" s="161"/>
      <c r="M72" s="161"/>
      <c r="N72" s="167"/>
      <c r="O72" s="166">
        <f t="shared" si="16"/>
        <v>564629</v>
      </c>
      <c r="P72" s="23"/>
    </row>
    <row r="73" spans="1:16" ht="29.25">
      <c r="A73" s="191" t="s">
        <v>291</v>
      </c>
      <c r="B73" s="192" t="s">
        <v>292</v>
      </c>
      <c r="C73" s="173">
        <f aca="true" t="shared" si="19" ref="C73:N73">SUM(C74:C74)</f>
        <v>1725</v>
      </c>
      <c r="D73" s="173">
        <f t="shared" si="19"/>
        <v>0</v>
      </c>
      <c r="E73" s="173">
        <f t="shared" si="19"/>
        <v>0</v>
      </c>
      <c r="F73" s="173">
        <f t="shared" si="19"/>
        <v>0</v>
      </c>
      <c r="G73" s="173">
        <f t="shared" si="19"/>
        <v>0</v>
      </c>
      <c r="H73" s="173">
        <f t="shared" si="19"/>
        <v>0</v>
      </c>
      <c r="I73" s="173">
        <f t="shared" si="19"/>
        <v>0</v>
      </c>
      <c r="J73" s="173">
        <f t="shared" si="19"/>
        <v>0</v>
      </c>
      <c r="K73" s="173">
        <f t="shared" si="19"/>
        <v>0</v>
      </c>
      <c r="L73" s="173">
        <f t="shared" si="19"/>
        <v>0</v>
      </c>
      <c r="M73" s="173">
        <f t="shared" si="19"/>
        <v>0</v>
      </c>
      <c r="N73" s="193">
        <f t="shared" si="19"/>
        <v>0</v>
      </c>
      <c r="O73" s="170">
        <f>SUM(C73:N73)</f>
        <v>1725</v>
      </c>
      <c r="P73" s="23"/>
    </row>
    <row r="74" spans="1:16" ht="15">
      <c r="A74" s="194" t="s">
        <v>330</v>
      </c>
      <c r="B74" s="195" t="s">
        <v>331</v>
      </c>
      <c r="C74" s="196">
        <v>1725</v>
      </c>
      <c r="D74" s="197"/>
      <c r="E74" s="197"/>
      <c r="F74" s="196"/>
      <c r="G74" s="197"/>
      <c r="H74" s="197"/>
      <c r="I74" s="197"/>
      <c r="J74" s="197"/>
      <c r="K74" s="197"/>
      <c r="L74" s="197"/>
      <c r="M74" s="197"/>
      <c r="N74" s="196"/>
      <c r="O74" s="174">
        <f t="shared" si="16"/>
        <v>1725</v>
      </c>
      <c r="P74" s="23"/>
    </row>
    <row r="75" spans="1:16" s="5" customFormat="1" ht="28.5">
      <c r="A75" s="198" t="s">
        <v>53</v>
      </c>
      <c r="B75" s="172" t="s">
        <v>210</v>
      </c>
      <c r="C75" s="169">
        <v>35018</v>
      </c>
      <c r="D75" s="169"/>
      <c r="E75" s="169"/>
      <c r="F75" s="173"/>
      <c r="G75" s="169">
        <v>7382</v>
      </c>
      <c r="H75" s="169"/>
      <c r="I75" s="169"/>
      <c r="J75" s="169">
        <v>5200</v>
      </c>
      <c r="K75" s="169"/>
      <c r="L75" s="169"/>
      <c r="M75" s="169"/>
      <c r="N75" s="193">
        <v>700</v>
      </c>
      <c r="O75" s="174">
        <f t="shared" si="16"/>
        <v>48300</v>
      </c>
      <c r="P75" s="26"/>
    </row>
    <row r="76" spans="1:16" s="5" customFormat="1" ht="15" thickBot="1">
      <c r="A76" s="199" t="s">
        <v>396</v>
      </c>
      <c r="B76" s="200" t="s">
        <v>397</v>
      </c>
      <c r="C76" s="201">
        <v>62000</v>
      </c>
      <c r="D76" s="201"/>
      <c r="E76" s="201"/>
      <c r="F76" s="201"/>
      <c r="G76" s="201"/>
      <c r="H76" s="201"/>
      <c r="I76" s="201"/>
      <c r="J76" s="201"/>
      <c r="K76" s="201"/>
      <c r="L76" s="201"/>
      <c r="M76" s="201"/>
      <c r="N76" s="201"/>
      <c r="O76" s="174">
        <f t="shared" si="16"/>
        <v>62000</v>
      </c>
      <c r="P76" s="26"/>
    </row>
    <row r="77" spans="1:16" ht="15.75" thickBot="1">
      <c r="A77" s="190" t="s">
        <v>8</v>
      </c>
      <c r="B77" s="155" t="s">
        <v>54</v>
      </c>
      <c r="C77" s="156">
        <f aca="true" t="shared" si="20" ref="C77:N77">SUM(C78,C85,C89:C91,C101,C103)</f>
        <v>12016410</v>
      </c>
      <c r="D77" s="156">
        <f t="shared" si="20"/>
        <v>205980</v>
      </c>
      <c r="E77" s="156">
        <f t="shared" si="20"/>
        <v>0</v>
      </c>
      <c r="F77" s="156">
        <f t="shared" si="20"/>
        <v>0</v>
      </c>
      <c r="G77" s="156">
        <f t="shared" si="20"/>
        <v>161793</v>
      </c>
      <c r="H77" s="156">
        <f t="shared" si="20"/>
        <v>58019</v>
      </c>
      <c r="I77" s="156">
        <f t="shared" si="20"/>
        <v>120143</v>
      </c>
      <c r="J77" s="156">
        <f t="shared" si="20"/>
        <v>122167</v>
      </c>
      <c r="K77" s="156">
        <f t="shared" si="20"/>
        <v>43866</v>
      </c>
      <c r="L77" s="156">
        <f t="shared" si="20"/>
        <v>53069</v>
      </c>
      <c r="M77" s="156">
        <f t="shared" si="20"/>
        <v>34916</v>
      </c>
      <c r="N77" s="156">
        <f t="shared" si="20"/>
        <v>41896</v>
      </c>
      <c r="O77" s="157">
        <f>SUM(C77:N77)</f>
        <v>12858259</v>
      </c>
      <c r="P77" s="23"/>
    </row>
    <row r="78" spans="1:16" ht="15">
      <c r="A78" s="158" t="s">
        <v>111</v>
      </c>
      <c r="B78" s="168" t="s">
        <v>112</v>
      </c>
      <c r="C78" s="160">
        <f aca="true" t="shared" si="21" ref="C78:N78">SUM(C79:C84)</f>
        <v>5238650</v>
      </c>
      <c r="D78" s="160">
        <f t="shared" si="21"/>
        <v>0</v>
      </c>
      <c r="E78" s="160">
        <f t="shared" si="21"/>
        <v>0</v>
      </c>
      <c r="F78" s="160">
        <f t="shared" si="21"/>
        <v>0</v>
      </c>
      <c r="G78" s="168">
        <f t="shared" si="21"/>
        <v>0</v>
      </c>
      <c r="H78" s="160">
        <f t="shared" si="21"/>
        <v>0</v>
      </c>
      <c r="I78" s="160">
        <f t="shared" si="21"/>
        <v>0</v>
      </c>
      <c r="J78" s="160">
        <f t="shared" si="21"/>
        <v>0</v>
      </c>
      <c r="K78" s="160">
        <f t="shared" si="21"/>
        <v>0</v>
      </c>
      <c r="L78" s="160">
        <f t="shared" si="21"/>
        <v>0</v>
      </c>
      <c r="M78" s="160">
        <f t="shared" si="21"/>
        <v>0</v>
      </c>
      <c r="N78" s="160">
        <f t="shared" si="21"/>
        <v>0</v>
      </c>
      <c r="O78" s="166">
        <f aca="true" t="shared" si="22" ref="O78:O88">SUM(C78:N78)</f>
        <v>5238650</v>
      </c>
      <c r="P78" s="23"/>
    </row>
    <row r="79" spans="1:16" ht="15">
      <c r="A79" s="202" t="s">
        <v>211</v>
      </c>
      <c r="B79" s="161" t="s">
        <v>212</v>
      </c>
      <c r="C79" s="167">
        <v>15000</v>
      </c>
      <c r="D79" s="161"/>
      <c r="E79" s="161"/>
      <c r="F79" s="167"/>
      <c r="G79" s="161"/>
      <c r="H79" s="161"/>
      <c r="I79" s="161"/>
      <c r="J79" s="161"/>
      <c r="K79" s="161"/>
      <c r="L79" s="161"/>
      <c r="M79" s="161"/>
      <c r="N79" s="167"/>
      <c r="O79" s="203">
        <f t="shared" si="22"/>
        <v>15000</v>
      </c>
      <c r="P79" s="23"/>
    </row>
    <row r="80" spans="1:16" ht="30">
      <c r="A80" s="202" t="s">
        <v>332</v>
      </c>
      <c r="B80" s="146" t="s">
        <v>333</v>
      </c>
      <c r="C80" s="167">
        <v>69650</v>
      </c>
      <c r="D80" s="161"/>
      <c r="E80" s="161"/>
      <c r="F80" s="167"/>
      <c r="G80" s="161"/>
      <c r="H80" s="161"/>
      <c r="I80" s="161"/>
      <c r="J80" s="161"/>
      <c r="K80" s="161"/>
      <c r="L80" s="161"/>
      <c r="M80" s="161"/>
      <c r="N80" s="167"/>
      <c r="O80" s="204">
        <f t="shared" si="22"/>
        <v>69650</v>
      </c>
      <c r="P80" s="23"/>
    </row>
    <row r="81" spans="1:16" ht="15">
      <c r="A81" s="202" t="s">
        <v>334</v>
      </c>
      <c r="B81" s="205" t="s">
        <v>335</v>
      </c>
      <c r="C81" s="167">
        <v>5000</v>
      </c>
      <c r="D81" s="161"/>
      <c r="E81" s="161"/>
      <c r="F81" s="167"/>
      <c r="G81" s="161"/>
      <c r="H81" s="161"/>
      <c r="I81" s="161"/>
      <c r="J81" s="161"/>
      <c r="K81" s="161"/>
      <c r="L81" s="161"/>
      <c r="M81" s="161"/>
      <c r="N81" s="167"/>
      <c r="O81" s="204">
        <f t="shared" si="22"/>
        <v>5000</v>
      </c>
      <c r="P81" s="23"/>
    </row>
    <row r="82" spans="1:16" ht="30">
      <c r="A82" s="206" t="s">
        <v>302</v>
      </c>
      <c r="B82" s="207" t="s">
        <v>336</v>
      </c>
      <c r="C82" s="167">
        <v>4910782</v>
      </c>
      <c r="D82" s="161"/>
      <c r="E82" s="161"/>
      <c r="F82" s="167"/>
      <c r="G82" s="161"/>
      <c r="H82" s="161"/>
      <c r="I82" s="161"/>
      <c r="J82" s="161"/>
      <c r="K82" s="161"/>
      <c r="L82" s="161"/>
      <c r="M82" s="161"/>
      <c r="N82" s="167"/>
      <c r="O82" s="204">
        <f t="shared" si="22"/>
        <v>4910782</v>
      </c>
      <c r="P82" s="23"/>
    </row>
    <row r="83" spans="1:16" ht="15">
      <c r="A83" s="206" t="s">
        <v>422</v>
      </c>
      <c r="B83" s="207" t="s">
        <v>423</v>
      </c>
      <c r="C83" s="167">
        <v>157388</v>
      </c>
      <c r="D83" s="161"/>
      <c r="E83" s="161"/>
      <c r="F83" s="167"/>
      <c r="G83" s="161"/>
      <c r="H83" s="161"/>
      <c r="I83" s="161"/>
      <c r="J83" s="161"/>
      <c r="K83" s="161"/>
      <c r="L83" s="161"/>
      <c r="M83" s="161"/>
      <c r="N83" s="167"/>
      <c r="O83" s="204">
        <f t="shared" si="22"/>
        <v>157388</v>
      </c>
      <c r="P83" s="23"/>
    </row>
    <row r="84" spans="1:16" ht="15">
      <c r="A84" s="206" t="s">
        <v>424</v>
      </c>
      <c r="B84" s="208" t="s">
        <v>425</v>
      </c>
      <c r="C84" s="167">
        <v>80830</v>
      </c>
      <c r="D84" s="161"/>
      <c r="E84" s="161"/>
      <c r="F84" s="167"/>
      <c r="G84" s="161"/>
      <c r="H84" s="161"/>
      <c r="I84" s="161"/>
      <c r="J84" s="161"/>
      <c r="K84" s="161"/>
      <c r="L84" s="161"/>
      <c r="M84" s="161"/>
      <c r="N84" s="167"/>
      <c r="O84" s="204">
        <f t="shared" si="22"/>
        <v>80830</v>
      </c>
      <c r="P84" s="23"/>
    </row>
    <row r="85" spans="1:16" ht="15">
      <c r="A85" s="171" t="s">
        <v>55</v>
      </c>
      <c r="B85" s="172" t="s">
        <v>213</v>
      </c>
      <c r="C85" s="173">
        <f>SUM(C86:C88)</f>
        <v>2024607</v>
      </c>
      <c r="D85" s="173">
        <f aca="true" t="shared" si="23" ref="D85:N85">SUM(D86:D88)</f>
        <v>0</v>
      </c>
      <c r="E85" s="173">
        <f t="shared" si="23"/>
        <v>0</v>
      </c>
      <c r="F85" s="173">
        <f t="shared" si="23"/>
        <v>0</v>
      </c>
      <c r="G85" s="173">
        <f t="shared" si="23"/>
        <v>0</v>
      </c>
      <c r="H85" s="173">
        <f t="shared" si="23"/>
        <v>0</v>
      </c>
      <c r="I85" s="173">
        <f t="shared" si="23"/>
        <v>0</v>
      </c>
      <c r="J85" s="173">
        <f t="shared" si="23"/>
        <v>0</v>
      </c>
      <c r="K85" s="173">
        <f t="shared" si="23"/>
        <v>0</v>
      </c>
      <c r="L85" s="173">
        <f t="shared" si="23"/>
        <v>0</v>
      </c>
      <c r="M85" s="173">
        <f t="shared" si="23"/>
        <v>1230</v>
      </c>
      <c r="N85" s="173">
        <f t="shared" si="23"/>
        <v>0</v>
      </c>
      <c r="O85" s="174">
        <f>SUM(C85:N85)</f>
        <v>2025837</v>
      </c>
      <c r="P85" s="23"/>
    </row>
    <row r="86" spans="1:16" ht="15">
      <c r="A86" s="202" t="s">
        <v>303</v>
      </c>
      <c r="B86" s="209" t="s">
        <v>325</v>
      </c>
      <c r="C86" s="160"/>
      <c r="D86" s="169"/>
      <c r="E86" s="169"/>
      <c r="F86" s="173"/>
      <c r="G86" s="178"/>
      <c r="H86" s="178"/>
      <c r="I86" s="178"/>
      <c r="J86" s="178"/>
      <c r="K86" s="178"/>
      <c r="L86" s="178"/>
      <c r="M86" s="178">
        <v>1230</v>
      </c>
      <c r="N86" s="177"/>
      <c r="O86" s="204">
        <f t="shared" si="22"/>
        <v>1230</v>
      </c>
      <c r="P86" s="23"/>
    </row>
    <row r="87" spans="1:16" ht="47.25">
      <c r="A87" s="202" t="s">
        <v>304</v>
      </c>
      <c r="B87" s="210" t="s">
        <v>426</v>
      </c>
      <c r="C87" s="167">
        <v>107995</v>
      </c>
      <c r="D87" s="169"/>
      <c r="E87" s="169"/>
      <c r="F87" s="173"/>
      <c r="G87" s="178"/>
      <c r="H87" s="178"/>
      <c r="I87" s="178"/>
      <c r="J87" s="178"/>
      <c r="K87" s="178"/>
      <c r="L87" s="178"/>
      <c r="M87" s="178"/>
      <c r="N87" s="177"/>
      <c r="O87" s="204">
        <f t="shared" si="22"/>
        <v>107995</v>
      </c>
      <c r="P87" s="23"/>
    </row>
    <row r="88" spans="1:16" ht="75">
      <c r="A88" s="202" t="s">
        <v>305</v>
      </c>
      <c r="B88" s="211" t="s">
        <v>326</v>
      </c>
      <c r="C88" s="167">
        <v>1916612</v>
      </c>
      <c r="D88" s="169"/>
      <c r="E88" s="169"/>
      <c r="F88" s="173"/>
      <c r="G88" s="178"/>
      <c r="H88" s="178"/>
      <c r="I88" s="178"/>
      <c r="J88" s="178"/>
      <c r="K88" s="178"/>
      <c r="L88" s="178"/>
      <c r="M88" s="178"/>
      <c r="N88" s="177"/>
      <c r="O88" s="204">
        <f t="shared" si="22"/>
        <v>1916612</v>
      </c>
      <c r="P88" s="23"/>
    </row>
    <row r="89" spans="1:16" ht="15">
      <c r="A89" s="158" t="s">
        <v>109</v>
      </c>
      <c r="B89" s="159" t="s">
        <v>110</v>
      </c>
      <c r="C89" s="160"/>
      <c r="D89" s="178"/>
      <c r="E89" s="178"/>
      <c r="F89" s="177"/>
      <c r="G89" s="178"/>
      <c r="H89" s="178"/>
      <c r="I89" s="178"/>
      <c r="J89" s="178"/>
      <c r="K89" s="178">
        <v>500</v>
      </c>
      <c r="L89" s="178"/>
      <c r="M89" s="178"/>
      <c r="N89" s="177"/>
      <c r="O89" s="174">
        <f t="shared" si="16"/>
        <v>500</v>
      </c>
      <c r="P89" s="23"/>
    </row>
    <row r="90" spans="1:16" ht="15">
      <c r="A90" s="158" t="s">
        <v>337</v>
      </c>
      <c r="B90" s="159" t="s">
        <v>151</v>
      </c>
      <c r="C90" s="160">
        <v>305742</v>
      </c>
      <c r="D90" s="177"/>
      <c r="E90" s="178"/>
      <c r="F90" s="177"/>
      <c r="G90" s="178"/>
      <c r="H90" s="178"/>
      <c r="I90" s="178"/>
      <c r="J90" s="178">
        <v>464</v>
      </c>
      <c r="K90" s="177"/>
      <c r="L90" s="177"/>
      <c r="M90" s="177"/>
      <c r="N90" s="177"/>
      <c r="O90" s="174">
        <f t="shared" si="16"/>
        <v>306206</v>
      </c>
      <c r="P90" s="23"/>
    </row>
    <row r="91" spans="1:16" ht="15">
      <c r="A91" s="171" t="s">
        <v>56</v>
      </c>
      <c r="B91" s="172" t="s">
        <v>57</v>
      </c>
      <c r="C91" s="173">
        <f aca="true" t="shared" si="24" ref="C91:N91">SUM(C92:C100)</f>
        <v>4294968</v>
      </c>
      <c r="D91" s="173">
        <f t="shared" si="24"/>
        <v>205980</v>
      </c>
      <c r="E91" s="173">
        <f t="shared" si="24"/>
        <v>0</v>
      </c>
      <c r="F91" s="173">
        <f t="shared" si="24"/>
        <v>0</v>
      </c>
      <c r="G91" s="173">
        <f t="shared" si="24"/>
        <v>161793</v>
      </c>
      <c r="H91" s="173">
        <f t="shared" si="24"/>
        <v>58019</v>
      </c>
      <c r="I91" s="173">
        <f t="shared" si="24"/>
        <v>120143</v>
      </c>
      <c r="J91" s="173">
        <f t="shared" si="24"/>
        <v>121703</v>
      </c>
      <c r="K91" s="173">
        <f t="shared" si="24"/>
        <v>43366</v>
      </c>
      <c r="L91" s="173">
        <f t="shared" si="24"/>
        <v>53069</v>
      </c>
      <c r="M91" s="173">
        <f t="shared" si="24"/>
        <v>33686</v>
      </c>
      <c r="N91" s="173">
        <f t="shared" si="24"/>
        <v>41896</v>
      </c>
      <c r="O91" s="174">
        <f t="shared" si="16"/>
        <v>5134623</v>
      </c>
      <c r="P91" s="23"/>
    </row>
    <row r="92" spans="1:16" ht="15">
      <c r="A92" s="212" t="s">
        <v>427</v>
      </c>
      <c r="B92" s="176" t="s">
        <v>113</v>
      </c>
      <c r="C92" s="177">
        <f>1628921-18000</f>
        <v>1610921</v>
      </c>
      <c r="D92" s="178"/>
      <c r="E92" s="178"/>
      <c r="F92" s="177"/>
      <c r="G92" s="178"/>
      <c r="H92" s="178">
        <v>35247</v>
      </c>
      <c r="I92" s="178">
        <f>89309+18000</f>
        <v>107309</v>
      </c>
      <c r="J92" s="178"/>
      <c r="K92" s="178">
        <v>43366</v>
      </c>
      <c r="L92" s="178">
        <v>53069</v>
      </c>
      <c r="M92" s="178">
        <v>33686</v>
      </c>
      <c r="N92" s="177"/>
      <c r="O92" s="174">
        <f t="shared" si="16"/>
        <v>1883598</v>
      </c>
      <c r="P92" s="23"/>
    </row>
    <row r="93" spans="1:16" ht="30">
      <c r="A93" s="175" t="s">
        <v>460</v>
      </c>
      <c r="B93" s="213" t="s">
        <v>462</v>
      </c>
      <c r="C93" s="177">
        <v>77500</v>
      </c>
      <c r="D93" s="178"/>
      <c r="E93" s="178"/>
      <c r="F93" s="177"/>
      <c r="G93" s="178"/>
      <c r="H93" s="178"/>
      <c r="I93" s="178"/>
      <c r="J93" s="178"/>
      <c r="K93" s="178"/>
      <c r="L93" s="178"/>
      <c r="M93" s="178"/>
      <c r="N93" s="214"/>
      <c r="O93" s="174">
        <f t="shared" si="16"/>
        <v>77500</v>
      </c>
      <c r="P93" s="23"/>
    </row>
    <row r="94" spans="1:16" ht="45">
      <c r="A94" s="175" t="s">
        <v>461</v>
      </c>
      <c r="B94" s="215" t="s">
        <v>463</v>
      </c>
      <c r="C94" s="177">
        <v>87000</v>
      </c>
      <c r="D94" s="178"/>
      <c r="E94" s="178"/>
      <c r="F94" s="177"/>
      <c r="G94" s="178"/>
      <c r="H94" s="178"/>
      <c r="I94" s="178"/>
      <c r="J94" s="178"/>
      <c r="K94" s="178"/>
      <c r="L94" s="178"/>
      <c r="M94" s="178"/>
      <c r="N94" s="214"/>
      <c r="O94" s="174">
        <f t="shared" si="16"/>
        <v>87000</v>
      </c>
      <c r="P94" s="23"/>
    </row>
    <row r="95" spans="1:16" ht="15">
      <c r="A95" s="175" t="s">
        <v>214</v>
      </c>
      <c r="B95" s="216" t="s">
        <v>279</v>
      </c>
      <c r="C95" s="177"/>
      <c r="D95" s="178">
        <v>205980</v>
      </c>
      <c r="E95" s="178"/>
      <c r="F95" s="177"/>
      <c r="G95" s="178">
        <v>161793</v>
      </c>
      <c r="H95" s="178">
        <v>22772</v>
      </c>
      <c r="I95" s="178">
        <v>12834</v>
      </c>
      <c r="J95" s="178">
        <v>121703</v>
      </c>
      <c r="K95" s="178"/>
      <c r="L95" s="178"/>
      <c r="M95" s="178"/>
      <c r="N95" s="217">
        <v>41896</v>
      </c>
      <c r="O95" s="174">
        <f t="shared" si="16"/>
        <v>566978</v>
      </c>
      <c r="P95" s="23"/>
    </row>
    <row r="96" spans="1:16" ht="30">
      <c r="A96" s="175" t="s">
        <v>306</v>
      </c>
      <c r="B96" s="146" t="s">
        <v>307</v>
      </c>
      <c r="C96" s="177">
        <v>615820</v>
      </c>
      <c r="D96" s="178"/>
      <c r="E96" s="178"/>
      <c r="F96" s="177"/>
      <c r="G96" s="178"/>
      <c r="H96" s="178"/>
      <c r="I96" s="178"/>
      <c r="J96" s="177"/>
      <c r="K96" s="177"/>
      <c r="L96" s="177"/>
      <c r="M96" s="177"/>
      <c r="N96" s="177"/>
      <c r="O96" s="174">
        <f t="shared" si="16"/>
        <v>615820</v>
      </c>
      <c r="P96" s="23"/>
    </row>
    <row r="97" spans="1:16" ht="15.75">
      <c r="A97" s="218" t="s">
        <v>428</v>
      </c>
      <c r="B97" s="210" t="s">
        <v>429</v>
      </c>
      <c r="C97" s="177">
        <v>12000</v>
      </c>
      <c r="D97" s="178"/>
      <c r="E97" s="178"/>
      <c r="F97" s="177"/>
      <c r="G97" s="178"/>
      <c r="H97" s="178"/>
      <c r="I97" s="178"/>
      <c r="J97" s="177"/>
      <c r="K97" s="177"/>
      <c r="L97" s="177"/>
      <c r="M97" s="177"/>
      <c r="N97" s="177"/>
      <c r="O97" s="174">
        <f t="shared" si="16"/>
        <v>12000</v>
      </c>
      <c r="P97" s="23"/>
    </row>
    <row r="98" spans="1:16" ht="15.75">
      <c r="A98" s="218" t="s">
        <v>459</v>
      </c>
      <c r="B98" s="210" t="s">
        <v>458</v>
      </c>
      <c r="C98" s="177">
        <v>1007246</v>
      </c>
      <c r="D98" s="178"/>
      <c r="E98" s="178"/>
      <c r="F98" s="177"/>
      <c r="G98" s="178"/>
      <c r="H98" s="178"/>
      <c r="I98" s="178"/>
      <c r="J98" s="177"/>
      <c r="K98" s="177"/>
      <c r="L98" s="177"/>
      <c r="M98" s="177"/>
      <c r="N98" s="177"/>
      <c r="O98" s="174">
        <f t="shared" si="16"/>
        <v>1007246</v>
      </c>
      <c r="P98" s="23"/>
    </row>
    <row r="99" spans="1:16" ht="15.75">
      <c r="A99" s="218" t="s">
        <v>464</v>
      </c>
      <c r="B99" s="210" t="s">
        <v>465</v>
      </c>
      <c r="C99" s="177">
        <v>305734</v>
      </c>
      <c r="D99" s="178"/>
      <c r="E99" s="178"/>
      <c r="F99" s="177"/>
      <c r="G99" s="178"/>
      <c r="H99" s="178"/>
      <c r="I99" s="178"/>
      <c r="J99" s="177"/>
      <c r="K99" s="177"/>
      <c r="L99" s="177"/>
      <c r="M99" s="177"/>
      <c r="N99" s="177"/>
      <c r="O99" s="174">
        <f t="shared" si="16"/>
        <v>305734</v>
      </c>
      <c r="P99" s="23"/>
    </row>
    <row r="100" spans="1:16" ht="47.25">
      <c r="A100" s="218" t="s">
        <v>466</v>
      </c>
      <c r="B100" s="210" t="s">
        <v>467</v>
      </c>
      <c r="C100" s="177">
        <v>578747</v>
      </c>
      <c r="D100" s="178"/>
      <c r="E100" s="178"/>
      <c r="F100" s="177"/>
      <c r="G100" s="178"/>
      <c r="H100" s="178"/>
      <c r="I100" s="178"/>
      <c r="J100" s="177"/>
      <c r="K100" s="177"/>
      <c r="L100" s="177"/>
      <c r="M100" s="177"/>
      <c r="N100" s="177"/>
      <c r="O100" s="174">
        <f t="shared" si="16"/>
        <v>578747</v>
      </c>
      <c r="P100" s="23"/>
    </row>
    <row r="101" spans="1:16" ht="15">
      <c r="A101" s="171" t="s">
        <v>58</v>
      </c>
      <c r="B101" s="220" t="s">
        <v>59</v>
      </c>
      <c r="C101" s="173">
        <f>SUM(C102:C102)</f>
        <v>0</v>
      </c>
      <c r="D101" s="178"/>
      <c r="E101" s="178"/>
      <c r="F101" s="177"/>
      <c r="G101" s="169">
        <f aca="true" t="shared" si="25" ref="G101:N101">SUM(G102:G102)</f>
        <v>0</v>
      </c>
      <c r="H101" s="169">
        <f t="shared" si="25"/>
        <v>0</v>
      </c>
      <c r="I101" s="169">
        <f>SUM(I102:I102)</f>
        <v>0</v>
      </c>
      <c r="J101" s="173">
        <f t="shared" si="25"/>
        <v>0</v>
      </c>
      <c r="K101" s="173">
        <f t="shared" si="25"/>
        <v>0</v>
      </c>
      <c r="L101" s="173">
        <f t="shared" si="25"/>
        <v>0</v>
      </c>
      <c r="M101" s="173">
        <f t="shared" si="25"/>
        <v>0</v>
      </c>
      <c r="N101" s="173">
        <f t="shared" si="25"/>
        <v>0</v>
      </c>
      <c r="O101" s="174">
        <f aca="true" t="shared" si="26" ref="O101:O128">SUM(C101:N101)</f>
        <v>0</v>
      </c>
      <c r="P101" s="23"/>
    </row>
    <row r="102" spans="1:16" ht="15">
      <c r="A102" s="175" t="s">
        <v>215</v>
      </c>
      <c r="B102" s="176" t="s">
        <v>293</v>
      </c>
      <c r="C102" s="177"/>
      <c r="D102" s="178"/>
      <c r="E102" s="178"/>
      <c r="F102" s="177"/>
      <c r="G102" s="178"/>
      <c r="H102" s="178"/>
      <c r="I102" s="178"/>
      <c r="J102" s="178"/>
      <c r="K102" s="178"/>
      <c r="L102" s="178"/>
      <c r="M102" s="178"/>
      <c r="N102" s="177"/>
      <c r="O102" s="174">
        <f t="shared" si="26"/>
        <v>0</v>
      </c>
      <c r="P102" s="23"/>
    </row>
    <row r="103" spans="1:16" ht="15.75" thickBot="1">
      <c r="A103" s="221" t="s">
        <v>400</v>
      </c>
      <c r="B103" s="200" t="s">
        <v>401</v>
      </c>
      <c r="C103" s="196">
        <v>152443</v>
      </c>
      <c r="D103" s="196"/>
      <c r="E103" s="196"/>
      <c r="F103" s="196"/>
      <c r="G103" s="196"/>
      <c r="H103" s="196"/>
      <c r="I103" s="196"/>
      <c r="J103" s="196"/>
      <c r="K103" s="196"/>
      <c r="L103" s="196"/>
      <c r="M103" s="196"/>
      <c r="N103" s="196"/>
      <c r="O103" s="174">
        <f t="shared" si="26"/>
        <v>152443</v>
      </c>
      <c r="P103" s="23"/>
    </row>
    <row r="104" spans="1:16" ht="15.75" thickBot="1">
      <c r="A104" s="190" t="s">
        <v>11</v>
      </c>
      <c r="B104" s="222" t="s">
        <v>60</v>
      </c>
      <c r="C104" s="156">
        <f aca="true" t="shared" si="27" ref="C104:N104">C105+C108+C111+C114</f>
        <v>6604314</v>
      </c>
      <c r="D104" s="156">
        <f t="shared" si="27"/>
        <v>415747</v>
      </c>
      <c r="E104" s="156">
        <f t="shared" si="27"/>
        <v>0</v>
      </c>
      <c r="F104" s="156">
        <f t="shared" si="27"/>
        <v>85255</v>
      </c>
      <c r="G104" s="156">
        <f t="shared" si="27"/>
        <v>11588</v>
      </c>
      <c r="H104" s="156">
        <f t="shared" si="27"/>
        <v>35546</v>
      </c>
      <c r="I104" s="156">
        <f t="shared" si="27"/>
        <v>33265</v>
      </c>
      <c r="J104" s="156">
        <f t="shared" si="27"/>
        <v>130693</v>
      </c>
      <c r="K104" s="156">
        <f t="shared" si="27"/>
        <v>29794</v>
      </c>
      <c r="L104" s="156">
        <f t="shared" si="27"/>
        <v>12805</v>
      </c>
      <c r="M104" s="156">
        <f t="shared" si="27"/>
        <v>0</v>
      </c>
      <c r="N104" s="156">
        <f t="shared" si="27"/>
        <v>24478</v>
      </c>
      <c r="O104" s="157">
        <f t="shared" si="26"/>
        <v>7383485</v>
      </c>
      <c r="P104" s="23"/>
    </row>
    <row r="105" spans="1:16" ht="15">
      <c r="A105" s="158" t="s">
        <v>61</v>
      </c>
      <c r="B105" s="220" t="s">
        <v>62</v>
      </c>
      <c r="C105" s="160">
        <f>SUM(C106:C107)</f>
        <v>27373</v>
      </c>
      <c r="D105" s="160">
        <f aca="true" t="shared" si="28" ref="D105:N105">SUM(D106:D107)</f>
        <v>41290</v>
      </c>
      <c r="E105" s="160">
        <f t="shared" si="28"/>
        <v>0</v>
      </c>
      <c r="F105" s="160">
        <f t="shared" si="28"/>
        <v>34598</v>
      </c>
      <c r="G105" s="160">
        <f t="shared" si="28"/>
        <v>1600</v>
      </c>
      <c r="H105" s="160">
        <f t="shared" si="28"/>
        <v>12705</v>
      </c>
      <c r="I105" s="160">
        <f t="shared" si="28"/>
        <v>24926</v>
      </c>
      <c r="J105" s="160">
        <f t="shared" si="28"/>
        <v>41367</v>
      </c>
      <c r="K105" s="160">
        <f t="shared" si="28"/>
        <v>22080</v>
      </c>
      <c r="L105" s="160">
        <f t="shared" si="28"/>
        <v>5500</v>
      </c>
      <c r="M105" s="160">
        <f t="shared" si="28"/>
        <v>0</v>
      </c>
      <c r="N105" s="160">
        <f t="shared" si="28"/>
        <v>14350</v>
      </c>
      <c r="O105" s="223">
        <f t="shared" si="26"/>
        <v>225789</v>
      </c>
      <c r="P105" s="23"/>
    </row>
    <row r="106" spans="1:16" ht="30">
      <c r="A106" s="175" t="s">
        <v>216</v>
      </c>
      <c r="B106" s="176" t="s">
        <v>185</v>
      </c>
      <c r="C106" s="177">
        <f>8013</f>
        <v>8013</v>
      </c>
      <c r="D106" s="178">
        <v>41290</v>
      </c>
      <c r="E106" s="178"/>
      <c r="F106" s="178">
        <v>34598</v>
      </c>
      <c r="G106" s="224">
        <v>1600</v>
      </c>
      <c r="H106" s="178">
        <v>12705</v>
      </c>
      <c r="I106" s="178">
        <v>24926</v>
      </c>
      <c r="J106" s="178">
        <v>41367</v>
      </c>
      <c r="K106" s="178">
        <v>22080</v>
      </c>
      <c r="L106" s="178">
        <v>5500</v>
      </c>
      <c r="M106" s="178"/>
      <c r="N106" s="217">
        <v>14350</v>
      </c>
      <c r="O106" s="174">
        <f>SUM(C106:N106)</f>
        <v>206429</v>
      </c>
      <c r="P106" s="23"/>
    </row>
    <row r="107" spans="1:16" ht="15">
      <c r="A107" s="175" t="s">
        <v>308</v>
      </c>
      <c r="B107" s="195" t="s">
        <v>309</v>
      </c>
      <c r="C107" s="177">
        <v>19360</v>
      </c>
      <c r="D107" s="177"/>
      <c r="E107" s="177"/>
      <c r="F107" s="178"/>
      <c r="G107" s="224"/>
      <c r="H107" s="178"/>
      <c r="I107" s="178"/>
      <c r="J107" s="177"/>
      <c r="K107" s="178"/>
      <c r="L107" s="177"/>
      <c r="M107" s="178"/>
      <c r="N107" s="214"/>
      <c r="O107" s="174">
        <f>SUM(C107:N107)</f>
        <v>19360</v>
      </c>
      <c r="P107" s="23"/>
    </row>
    <row r="108" spans="1:16" ht="15">
      <c r="A108" s="171" t="s">
        <v>63</v>
      </c>
      <c r="B108" s="179" t="s">
        <v>64</v>
      </c>
      <c r="C108" s="173">
        <f>SUM(C109:C110)</f>
        <v>121616</v>
      </c>
      <c r="D108" s="173">
        <f>SUM(D109:D110)</f>
        <v>374457</v>
      </c>
      <c r="E108" s="173">
        <f>SUM(E109:E110)</f>
        <v>0</v>
      </c>
      <c r="F108" s="169">
        <f>SUM(F109:F110)</f>
        <v>50657</v>
      </c>
      <c r="G108" s="225">
        <f aca="true" t="shared" si="29" ref="G108:N108">SUM(G109:G110)</f>
        <v>0</v>
      </c>
      <c r="H108" s="169">
        <f t="shared" si="29"/>
        <v>22841</v>
      </c>
      <c r="I108" s="169">
        <f t="shared" si="29"/>
        <v>8339</v>
      </c>
      <c r="J108" s="173">
        <f t="shared" si="29"/>
        <v>44196</v>
      </c>
      <c r="K108" s="173">
        <f t="shared" si="29"/>
        <v>7714</v>
      </c>
      <c r="L108" s="173">
        <f t="shared" si="29"/>
        <v>6614</v>
      </c>
      <c r="M108" s="169">
        <f t="shared" si="29"/>
        <v>0</v>
      </c>
      <c r="N108" s="226">
        <f t="shared" si="29"/>
        <v>10128</v>
      </c>
      <c r="O108" s="174">
        <f t="shared" si="26"/>
        <v>646562</v>
      </c>
      <c r="P108" s="23"/>
    </row>
    <row r="109" spans="1:16" ht="15">
      <c r="A109" s="175" t="s">
        <v>217</v>
      </c>
      <c r="B109" s="146" t="s">
        <v>125</v>
      </c>
      <c r="C109" s="177">
        <v>121616</v>
      </c>
      <c r="D109" s="178">
        <v>42808</v>
      </c>
      <c r="E109" s="178"/>
      <c r="F109" s="178">
        <v>50657</v>
      </c>
      <c r="G109" s="224"/>
      <c r="H109" s="178"/>
      <c r="I109" s="178"/>
      <c r="J109" s="178"/>
      <c r="K109" s="178"/>
      <c r="L109" s="178"/>
      <c r="M109" s="178"/>
      <c r="N109" s="214"/>
      <c r="O109" s="174">
        <f t="shared" si="26"/>
        <v>215081</v>
      </c>
      <c r="P109" s="23"/>
    </row>
    <row r="110" spans="1:16" ht="15">
      <c r="A110" s="227" t="s">
        <v>218</v>
      </c>
      <c r="B110" s="146" t="s">
        <v>115</v>
      </c>
      <c r="C110" s="177"/>
      <c r="D110" s="178">
        <v>331649</v>
      </c>
      <c r="E110" s="178"/>
      <c r="F110" s="177"/>
      <c r="G110" s="178"/>
      <c r="H110" s="178">
        <v>22841</v>
      </c>
      <c r="I110" s="178">
        <v>8339</v>
      </c>
      <c r="J110" s="178">
        <f>40102+4094</f>
        <v>44196</v>
      </c>
      <c r="K110" s="178">
        <v>7714</v>
      </c>
      <c r="L110" s="178">
        <v>6614</v>
      </c>
      <c r="M110" s="178"/>
      <c r="N110" s="217">
        <v>10128</v>
      </c>
      <c r="O110" s="174">
        <f>SUM(C110:N110)</f>
        <v>431481</v>
      </c>
      <c r="P110" s="23"/>
    </row>
    <row r="111" spans="1:16" s="5" customFormat="1" ht="28.5">
      <c r="A111" s="171" t="s">
        <v>221</v>
      </c>
      <c r="B111" s="220" t="s">
        <v>222</v>
      </c>
      <c r="C111" s="160">
        <f aca="true" t="shared" si="30" ref="C111:N111">SUM(C112:C113)</f>
        <v>6420000</v>
      </c>
      <c r="D111" s="160">
        <f t="shared" si="30"/>
        <v>0</v>
      </c>
      <c r="E111" s="160">
        <f t="shared" si="30"/>
        <v>0</v>
      </c>
      <c r="F111" s="160">
        <f t="shared" si="30"/>
        <v>0</v>
      </c>
      <c r="G111" s="160">
        <f t="shared" si="30"/>
        <v>0</v>
      </c>
      <c r="H111" s="160">
        <f t="shared" si="30"/>
        <v>0</v>
      </c>
      <c r="I111" s="160">
        <f t="shared" si="30"/>
        <v>0</v>
      </c>
      <c r="J111" s="160">
        <f t="shared" si="30"/>
        <v>45130</v>
      </c>
      <c r="K111" s="160">
        <f t="shared" si="30"/>
        <v>0</v>
      </c>
      <c r="L111" s="160">
        <f t="shared" si="30"/>
        <v>691</v>
      </c>
      <c r="M111" s="160">
        <f t="shared" si="30"/>
        <v>0</v>
      </c>
      <c r="N111" s="160">
        <f t="shared" si="30"/>
        <v>0</v>
      </c>
      <c r="O111" s="174">
        <f t="shared" si="26"/>
        <v>6465821</v>
      </c>
      <c r="P111" s="26"/>
    </row>
    <row r="112" spans="1:16" s="5" customFormat="1" ht="15">
      <c r="A112" s="175" t="s">
        <v>392</v>
      </c>
      <c r="B112" s="228" t="s">
        <v>475</v>
      </c>
      <c r="C112" s="160">
        <v>20000</v>
      </c>
      <c r="D112" s="160"/>
      <c r="E112" s="160"/>
      <c r="F112" s="160"/>
      <c r="G112" s="168"/>
      <c r="H112" s="160"/>
      <c r="I112" s="160"/>
      <c r="J112" s="160">
        <v>45130</v>
      </c>
      <c r="K112" s="160"/>
      <c r="L112" s="160">
        <v>691</v>
      </c>
      <c r="M112" s="160"/>
      <c r="N112" s="160"/>
      <c r="O112" s="174">
        <f>SUM(C112:N112)</f>
        <v>65821</v>
      </c>
      <c r="P112" s="26"/>
    </row>
    <row r="113" spans="1:16" s="5" customFormat="1" ht="31.5">
      <c r="A113" s="218" t="s">
        <v>430</v>
      </c>
      <c r="B113" s="210" t="s">
        <v>431</v>
      </c>
      <c r="C113" s="167">
        <v>6400000</v>
      </c>
      <c r="D113" s="160"/>
      <c r="E113" s="160"/>
      <c r="F113" s="160"/>
      <c r="G113" s="168"/>
      <c r="H113" s="160"/>
      <c r="I113" s="160"/>
      <c r="J113" s="160"/>
      <c r="K113" s="160"/>
      <c r="L113" s="160"/>
      <c r="M113" s="160"/>
      <c r="N113" s="160"/>
      <c r="O113" s="174">
        <f>SUM(C113:N113)</f>
        <v>6400000</v>
      </c>
      <c r="P113" s="26"/>
    </row>
    <row r="114" spans="1:16" ht="29.25">
      <c r="A114" s="158" t="s">
        <v>219</v>
      </c>
      <c r="B114" s="220" t="s">
        <v>220</v>
      </c>
      <c r="C114" s="160">
        <f>C115</f>
        <v>35325</v>
      </c>
      <c r="D114" s="160">
        <f aca="true" t="shared" si="31" ref="D114:N114">D115</f>
        <v>0</v>
      </c>
      <c r="E114" s="160">
        <f t="shared" si="31"/>
        <v>0</v>
      </c>
      <c r="F114" s="160">
        <f t="shared" si="31"/>
        <v>0</v>
      </c>
      <c r="G114" s="160">
        <f t="shared" si="31"/>
        <v>9988</v>
      </c>
      <c r="H114" s="160">
        <f t="shared" si="31"/>
        <v>0</v>
      </c>
      <c r="I114" s="160">
        <f t="shared" si="31"/>
        <v>0</v>
      </c>
      <c r="J114" s="160">
        <f t="shared" si="31"/>
        <v>0</v>
      </c>
      <c r="K114" s="160">
        <f t="shared" si="31"/>
        <v>0</v>
      </c>
      <c r="L114" s="160">
        <f t="shared" si="31"/>
        <v>0</v>
      </c>
      <c r="M114" s="160">
        <f t="shared" si="31"/>
        <v>0</v>
      </c>
      <c r="N114" s="160">
        <f t="shared" si="31"/>
        <v>0</v>
      </c>
      <c r="O114" s="174">
        <f>SUM(C114:N114)</f>
        <v>45313</v>
      </c>
      <c r="P114" s="23"/>
    </row>
    <row r="115" spans="1:16" s="5" customFormat="1" ht="30" customHeight="1" thickBot="1">
      <c r="A115" s="229" t="s">
        <v>338</v>
      </c>
      <c r="B115" s="216" t="s">
        <v>339</v>
      </c>
      <c r="C115" s="167">
        <v>35325</v>
      </c>
      <c r="D115" s="160"/>
      <c r="E115" s="160"/>
      <c r="F115" s="160"/>
      <c r="G115" s="161">
        <v>9988</v>
      </c>
      <c r="H115" s="160"/>
      <c r="I115" s="160"/>
      <c r="J115" s="160"/>
      <c r="K115" s="160"/>
      <c r="L115" s="160"/>
      <c r="M115" s="160"/>
      <c r="N115" s="160"/>
      <c r="O115" s="174">
        <f>SUM(C115:N115)</f>
        <v>45313</v>
      </c>
      <c r="P115" s="26"/>
    </row>
    <row r="116" spans="1:16" ht="30" thickBot="1">
      <c r="A116" s="190" t="s">
        <v>12</v>
      </c>
      <c r="B116" s="222" t="s">
        <v>65</v>
      </c>
      <c r="C116" s="156">
        <f>SUM(C117:C123)</f>
        <v>4875677</v>
      </c>
      <c r="D116" s="156">
        <f aca="true" t="shared" si="32" ref="D116:N116">SUM(D117:D123)</f>
        <v>2186434</v>
      </c>
      <c r="E116" s="156">
        <f t="shared" si="32"/>
        <v>0</v>
      </c>
      <c r="F116" s="156">
        <f t="shared" si="32"/>
        <v>283716</v>
      </c>
      <c r="G116" s="156">
        <f t="shared" si="32"/>
        <v>100973</v>
      </c>
      <c r="H116" s="156">
        <f t="shared" si="32"/>
        <v>167376</v>
      </c>
      <c r="I116" s="156">
        <f t="shared" si="32"/>
        <v>157795</v>
      </c>
      <c r="J116" s="156">
        <f t="shared" si="32"/>
        <v>350074</v>
      </c>
      <c r="K116" s="156">
        <f t="shared" si="32"/>
        <v>34393</v>
      </c>
      <c r="L116" s="156">
        <f t="shared" si="32"/>
        <v>106501</v>
      </c>
      <c r="M116" s="156">
        <f t="shared" si="32"/>
        <v>104585</v>
      </c>
      <c r="N116" s="156">
        <f t="shared" si="32"/>
        <v>106704</v>
      </c>
      <c r="O116" s="157">
        <f t="shared" si="26"/>
        <v>8474228</v>
      </c>
      <c r="P116" s="23"/>
    </row>
    <row r="117" spans="1:16" ht="15">
      <c r="A117" s="158" t="s">
        <v>285</v>
      </c>
      <c r="B117" s="220" t="s">
        <v>340</v>
      </c>
      <c r="C117" s="160"/>
      <c r="D117" s="168"/>
      <c r="E117" s="161"/>
      <c r="F117" s="167"/>
      <c r="G117" s="161"/>
      <c r="H117" s="230"/>
      <c r="I117" s="161"/>
      <c r="J117" s="161"/>
      <c r="K117" s="161"/>
      <c r="L117" s="161"/>
      <c r="M117" s="161"/>
      <c r="N117" s="167"/>
      <c r="O117" s="166">
        <f t="shared" si="26"/>
        <v>0</v>
      </c>
      <c r="P117" s="23"/>
    </row>
    <row r="118" spans="1:16" ht="15">
      <c r="A118" s="202" t="s">
        <v>310</v>
      </c>
      <c r="B118" s="216" t="s">
        <v>186</v>
      </c>
      <c r="C118" s="160"/>
      <c r="D118" s="168"/>
      <c r="E118" s="161"/>
      <c r="F118" s="167"/>
      <c r="G118" s="161"/>
      <c r="H118" s="178"/>
      <c r="I118" s="161"/>
      <c r="J118" s="161"/>
      <c r="K118" s="161"/>
      <c r="L118" s="161"/>
      <c r="M118" s="161"/>
      <c r="N118" s="167"/>
      <c r="O118" s="231">
        <f t="shared" si="26"/>
        <v>0</v>
      </c>
      <c r="P118" s="23"/>
    </row>
    <row r="119" spans="1:16" ht="15">
      <c r="A119" s="171" t="s">
        <v>341</v>
      </c>
      <c r="B119" s="179" t="s">
        <v>276</v>
      </c>
      <c r="C119" s="177">
        <v>151876</v>
      </c>
      <c r="D119" s="169"/>
      <c r="E119" s="178"/>
      <c r="F119" s="177"/>
      <c r="G119" s="178"/>
      <c r="H119" s="178"/>
      <c r="I119" s="178"/>
      <c r="J119" s="178"/>
      <c r="K119" s="178"/>
      <c r="L119" s="178"/>
      <c r="M119" s="178"/>
      <c r="N119" s="177"/>
      <c r="O119" s="174">
        <f t="shared" si="26"/>
        <v>151876</v>
      </c>
      <c r="P119" s="23"/>
    </row>
    <row r="120" spans="1:16" ht="15">
      <c r="A120" s="171" t="s">
        <v>66</v>
      </c>
      <c r="B120" s="179" t="s">
        <v>67</v>
      </c>
      <c r="C120" s="177"/>
      <c r="D120" s="178">
        <v>115165</v>
      </c>
      <c r="E120" s="178"/>
      <c r="F120" s="178">
        <v>25781</v>
      </c>
      <c r="G120" s="224"/>
      <c r="H120" s="178"/>
      <c r="I120" s="178"/>
      <c r="J120" s="178"/>
      <c r="K120" s="178"/>
      <c r="L120" s="178"/>
      <c r="M120" s="178"/>
      <c r="N120" s="177"/>
      <c r="O120" s="174">
        <f t="shared" si="26"/>
        <v>140946</v>
      </c>
      <c r="P120" s="23"/>
    </row>
    <row r="121" spans="1:16" ht="15">
      <c r="A121" s="171" t="s">
        <v>286</v>
      </c>
      <c r="B121" s="146" t="s">
        <v>342</v>
      </c>
      <c r="C121" s="177"/>
      <c r="D121" s="169"/>
      <c r="E121" s="178"/>
      <c r="F121" s="178"/>
      <c r="G121" s="224"/>
      <c r="H121" s="178">
        <v>28491</v>
      </c>
      <c r="I121" s="178">
        <v>6399</v>
      </c>
      <c r="J121" s="178">
        <v>45423</v>
      </c>
      <c r="K121" s="178">
        <v>9429</v>
      </c>
      <c r="L121" s="178">
        <v>8034</v>
      </c>
      <c r="M121" s="178">
        <v>80930</v>
      </c>
      <c r="N121" s="217">
        <v>3790</v>
      </c>
      <c r="O121" s="174">
        <f t="shared" si="26"/>
        <v>182496</v>
      </c>
      <c r="P121" s="23"/>
    </row>
    <row r="122" spans="1:16" ht="15">
      <c r="A122" s="171" t="s">
        <v>68</v>
      </c>
      <c r="B122" s="179" t="s">
        <v>69</v>
      </c>
      <c r="C122" s="173">
        <v>971334</v>
      </c>
      <c r="D122" s="169"/>
      <c r="E122" s="178"/>
      <c r="F122" s="178"/>
      <c r="G122" s="224">
        <v>5900</v>
      </c>
      <c r="H122" s="178">
        <v>1200</v>
      </c>
      <c r="I122" s="178"/>
      <c r="J122" s="178">
        <f>6225+6900</f>
        <v>13125</v>
      </c>
      <c r="K122" s="178"/>
      <c r="L122" s="178"/>
      <c r="M122" s="178">
        <v>1700</v>
      </c>
      <c r="N122" s="177"/>
      <c r="O122" s="174">
        <f t="shared" si="26"/>
        <v>993259</v>
      </c>
      <c r="P122" s="23"/>
    </row>
    <row r="123" spans="1:16" ht="43.5">
      <c r="A123" s="171" t="s">
        <v>70</v>
      </c>
      <c r="B123" s="179" t="s">
        <v>71</v>
      </c>
      <c r="C123" s="173">
        <f aca="true" t="shared" si="33" ref="C123:N123">SUM(C124:C140)</f>
        <v>3752467</v>
      </c>
      <c r="D123" s="173">
        <f t="shared" si="33"/>
        <v>2071269</v>
      </c>
      <c r="E123" s="173">
        <f t="shared" si="33"/>
        <v>0</v>
      </c>
      <c r="F123" s="169">
        <f t="shared" si="33"/>
        <v>257935</v>
      </c>
      <c r="G123" s="226">
        <f t="shared" si="33"/>
        <v>95073</v>
      </c>
      <c r="H123" s="173">
        <f t="shared" si="33"/>
        <v>137685</v>
      </c>
      <c r="I123" s="173">
        <f t="shared" si="33"/>
        <v>151396</v>
      </c>
      <c r="J123" s="173">
        <f t="shared" si="33"/>
        <v>291526</v>
      </c>
      <c r="K123" s="173">
        <f t="shared" si="33"/>
        <v>24964</v>
      </c>
      <c r="L123" s="173">
        <f t="shared" si="33"/>
        <v>98467</v>
      </c>
      <c r="M123" s="173">
        <f t="shared" si="33"/>
        <v>21955</v>
      </c>
      <c r="N123" s="173">
        <f t="shared" si="33"/>
        <v>102914</v>
      </c>
      <c r="O123" s="174">
        <f t="shared" si="26"/>
        <v>7005651</v>
      </c>
      <c r="P123" s="23"/>
    </row>
    <row r="124" spans="1:16" ht="15">
      <c r="A124" s="175" t="s">
        <v>223</v>
      </c>
      <c r="B124" s="146" t="s">
        <v>127</v>
      </c>
      <c r="C124" s="177"/>
      <c r="D124" s="178">
        <v>2047920</v>
      </c>
      <c r="E124" s="178"/>
      <c r="F124" s="178">
        <v>99735</v>
      </c>
      <c r="G124" s="232"/>
      <c r="H124" s="161">
        <v>16950</v>
      </c>
      <c r="I124" s="178">
        <v>10550</v>
      </c>
      <c r="J124" s="178"/>
      <c r="K124" s="178"/>
      <c r="L124" s="178"/>
      <c r="M124" s="178"/>
      <c r="N124" s="178"/>
      <c r="O124" s="174">
        <f t="shared" si="26"/>
        <v>2175155</v>
      </c>
      <c r="P124" s="23"/>
    </row>
    <row r="125" spans="1:16" ht="15">
      <c r="A125" s="175" t="s">
        <v>224</v>
      </c>
      <c r="B125" s="146" t="s">
        <v>128</v>
      </c>
      <c r="C125" s="177"/>
      <c r="D125" s="178"/>
      <c r="E125" s="178"/>
      <c r="F125" s="178">
        <v>158200</v>
      </c>
      <c r="G125" s="232"/>
      <c r="H125" s="178">
        <v>54900</v>
      </c>
      <c r="I125" s="178">
        <v>81243</v>
      </c>
      <c r="J125" s="178">
        <v>129795</v>
      </c>
      <c r="K125" s="178"/>
      <c r="L125" s="178"/>
      <c r="M125" s="178"/>
      <c r="N125" s="177"/>
      <c r="O125" s="174">
        <f t="shared" si="26"/>
        <v>424138</v>
      </c>
      <c r="P125" s="23"/>
    </row>
    <row r="126" spans="1:16" ht="15">
      <c r="A126" s="175" t="s">
        <v>225</v>
      </c>
      <c r="B126" s="146" t="s">
        <v>129</v>
      </c>
      <c r="C126" s="177">
        <v>36100</v>
      </c>
      <c r="D126" s="178">
        <v>23349</v>
      </c>
      <c r="E126" s="178"/>
      <c r="F126" s="177"/>
      <c r="G126" s="178">
        <v>10586</v>
      </c>
      <c r="H126" s="178"/>
      <c r="I126" s="178"/>
      <c r="J126" s="178">
        <v>16088</v>
      </c>
      <c r="K126" s="178">
        <v>5184</v>
      </c>
      <c r="L126" s="178"/>
      <c r="M126" s="178">
        <v>4354</v>
      </c>
      <c r="N126" s="177"/>
      <c r="O126" s="174">
        <f t="shared" si="26"/>
        <v>95661</v>
      </c>
      <c r="P126" s="23"/>
    </row>
    <row r="127" spans="1:16" ht="45">
      <c r="A127" s="218" t="s">
        <v>432</v>
      </c>
      <c r="B127" s="233" t="s">
        <v>433</v>
      </c>
      <c r="C127" s="167">
        <v>241023</v>
      </c>
      <c r="D127" s="178"/>
      <c r="E127" s="178"/>
      <c r="F127" s="177"/>
      <c r="G127" s="178"/>
      <c r="H127" s="178"/>
      <c r="I127" s="178"/>
      <c r="J127" s="178"/>
      <c r="K127" s="178"/>
      <c r="L127" s="178"/>
      <c r="M127" s="178"/>
      <c r="N127" s="177"/>
      <c r="O127" s="174">
        <f t="shared" si="26"/>
        <v>241023</v>
      </c>
      <c r="P127" s="23"/>
    </row>
    <row r="128" spans="1:16" ht="30">
      <c r="A128" s="175" t="s">
        <v>226</v>
      </c>
      <c r="B128" s="146" t="s">
        <v>343</v>
      </c>
      <c r="C128" s="167">
        <v>43600</v>
      </c>
      <c r="D128" s="178"/>
      <c r="E128" s="178"/>
      <c r="F128" s="177"/>
      <c r="G128" s="178"/>
      <c r="H128" s="178"/>
      <c r="I128" s="178"/>
      <c r="J128" s="178"/>
      <c r="K128" s="178"/>
      <c r="L128" s="178"/>
      <c r="M128" s="178"/>
      <c r="N128" s="177"/>
      <c r="O128" s="174">
        <f t="shared" si="26"/>
        <v>43600</v>
      </c>
      <c r="P128" s="23"/>
    </row>
    <row r="129" spans="1:16" ht="30">
      <c r="A129" s="175" t="s">
        <v>227</v>
      </c>
      <c r="B129" s="216" t="s">
        <v>152</v>
      </c>
      <c r="C129" s="167">
        <v>55000</v>
      </c>
      <c r="D129" s="178"/>
      <c r="E129" s="178"/>
      <c r="F129" s="177"/>
      <c r="G129" s="178">
        <v>5106</v>
      </c>
      <c r="H129" s="178"/>
      <c r="I129" s="178">
        <v>6000</v>
      </c>
      <c r="J129" s="178">
        <v>2768</v>
      </c>
      <c r="K129" s="178"/>
      <c r="L129" s="178"/>
      <c r="M129" s="178"/>
      <c r="N129" s="177"/>
      <c r="O129" s="174">
        <f>SUM(C129:N129)</f>
        <v>68874</v>
      </c>
      <c r="P129" s="23"/>
    </row>
    <row r="130" spans="1:16" ht="15">
      <c r="A130" s="175" t="s">
        <v>228</v>
      </c>
      <c r="B130" s="234" t="s">
        <v>131</v>
      </c>
      <c r="C130" s="177">
        <v>53000</v>
      </c>
      <c r="D130" s="177"/>
      <c r="E130" s="177"/>
      <c r="F130" s="177"/>
      <c r="G130" s="178">
        <v>5480</v>
      </c>
      <c r="H130" s="178"/>
      <c r="I130" s="178">
        <v>53603</v>
      </c>
      <c r="J130" s="178"/>
      <c r="K130" s="178"/>
      <c r="L130" s="178"/>
      <c r="M130" s="178">
        <v>12348</v>
      </c>
      <c r="N130" s="177"/>
      <c r="O130" s="174">
        <f aca="true" t="shared" si="34" ref="O130:O175">SUM(C130:N130)</f>
        <v>124431</v>
      </c>
      <c r="P130" s="23"/>
    </row>
    <row r="131" spans="1:16" ht="17.25" customHeight="1">
      <c r="A131" s="175" t="s">
        <v>229</v>
      </c>
      <c r="B131" s="146" t="s">
        <v>344</v>
      </c>
      <c r="C131" s="178">
        <v>5000</v>
      </c>
      <c r="D131" s="178"/>
      <c r="E131" s="178"/>
      <c r="F131" s="177"/>
      <c r="G131" s="178"/>
      <c r="H131" s="178"/>
      <c r="I131" s="178"/>
      <c r="J131" s="178"/>
      <c r="K131" s="178"/>
      <c r="L131" s="178"/>
      <c r="M131" s="178"/>
      <c r="N131" s="177"/>
      <c r="O131" s="174">
        <f t="shared" si="34"/>
        <v>5000</v>
      </c>
      <c r="P131" s="23"/>
    </row>
    <row r="132" spans="1:16" ht="15">
      <c r="A132" s="175" t="s">
        <v>230</v>
      </c>
      <c r="B132" s="235" t="s">
        <v>280</v>
      </c>
      <c r="C132" s="177"/>
      <c r="D132" s="177"/>
      <c r="E132" s="177"/>
      <c r="F132" s="177"/>
      <c r="G132" s="178"/>
      <c r="H132" s="178">
        <v>65835</v>
      </c>
      <c r="I132" s="178"/>
      <c r="J132" s="178">
        <v>142875</v>
      </c>
      <c r="K132" s="178">
        <v>19780</v>
      </c>
      <c r="L132" s="178">
        <v>98467</v>
      </c>
      <c r="M132" s="178"/>
      <c r="N132" s="217">
        <v>102914</v>
      </c>
      <c r="O132" s="174">
        <f t="shared" si="34"/>
        <v>429871</v>
      </c>
      <c r="P132" s="23"/>
    </row>
    <row r="133" spans="1:16" ht="15">
      <c r="A133" s="175" t="s">
        <v>345</v>
      </c>
      <c r="B133" s="216" t="s">
        <v>346</v>
      </c>
      <c r="C133" s="178">
        <v>145574</v>
      </c>
      <c r="D133" s="178"/>
      <c r="E133" s="178"/>
      <c r="F133" s="178"/>
      <c r="G133" s="178">
        <f>57647+16254</f>
        <v>73901</v>
      </c>
      <c r="H133" s="178"/>
      <c r="I133" s="178"/>
      <c r="J133" s="178"/>
      <c r="K133" s="178"/>
      <c r="L133" s="178"/>
      <c r="M133" s="178">
        <v>5253</v>
      </c>
      <c r="N133" s="236"/>
      <c r="O133" s="174">
        <f t="shared" si="34"/>
        <v>224728</v>
      </c>
      <c r="P133" s="23"/>
    </row>
    <row r="134" spans="1:16" ht="31.5">
      <c r="A134" s="218" t="s">
        <v>434</v>
      </c>
      <c r="B134" s="210" t="s">
        <v>435</v>
      </c>
      <c r="C134" s="178">
        <v>809180</v>
      </c>
      <c r="D134" s="178"/>
      <c r="E134" s="178"/>
      <c r="F134" s="178"/>
      <c r="G134" s="178"/>
      <c r="H134" s="178"/>
      <c r="I134" s="178"/>
      <c r="J134" s="178"/>
      <c r="K134" s="178"/>
      <c r="L134" s="178"/>
      <c r="M134" s="178"/>
      <c r="N134" s="236"/>
      <c r="O134" s="174">
        <f t="shared" si="34"/>
        <v>809180</v>
      </c>
      <c r="P134" s="23"/>
    </row>
    <row r="135" spans="1:16" ht="30">
      <c r="A135" s="218" t="s">
        <v>398</v>
      </c>
      <c r="B135" s="237" t="s">
        <v>399</v>
      </c>
      <c r="C135" s="177">
        <v>1302499</v>
      </c>
      <c r="D135" s="177"/>
      <c r="E135" s="177"/>
      <c r="F135" s="177"/>
      <c r="G135" s="178"/>
      <c r="H135" s="178"/>
      <c r="I135" s="178"/>
      <c r="J135" s="178"/>
      <c r="K135" s="177"/>
      <c r="L135" s="178"/>
      <c r="M135" s="178"/>
      <c r="N135" s="236"/>
      <c r="O135" s="174">
        <f t="shared" si="34"/>
        <v>1302499</v>
      </c>
      <c r="P135" s="23"/>
    </row>
    <row r="136" spans="1:16" ht="30">
      <c r="A136" s="218" t="s">
        <v>436</v>
      </c>
      <c r="B136" s="238" t="s">
        <v>437</v>
      </c>
      <c r="C136" s="177">
        <v>8470</v>
      </c>
      <c r="D136" s="178"/>
      <c r="E136" s="178"/>
      <c r="F136" s="177"/>
      <c r="G136" s="178"/>
      <c r="H136" s="178"/>
      <c r="I136" s="178"/>
      <c r="J136" s="178"/>
      <c r="K136" s="178"/>
      <c r="L136" s="178"/>
      <c r="M136" s="178"/>
      <c r="N136" s="236"/>
      <c r="O136" s="174">
        <f t="shared" si="34"/>
        <v>8470</v>
      </c>
      <c r="P136" s="23"/>
    </row>
    <row r="137" spans="1:16" ht="31.5">
      <c r="A137" s="218" t="s">
        <v>468</v>
      </c>
      <c r="B137" s="239" t="s">
        <v>477</v>
      </c>
      <c r="C137" s="196">
        <v>754581</v>
      </c>
      <c r="D137" s="177"/>
      <c r="E137" s="177"/>
      <c r="F137" s="177"/>
      <c r="G137" s="178"/>
      <c r="H137" s="177"/>
      <c r="I137" s="177"/>
      <c r="J137" s="177"/>
      <c r="K137" s="177"/>
      <c r="L137" s="177"/>
      <c r="M137" s="177"/>
      <c r="N137" s="236"/>
      <c r="O137" s="174">
        <f t="shared" si="34"/>
        <v>754581</v>
      </c>
      <c r="P137" s="23"/>
    </row>
    <row r="138" spans="1:16" ht="15.75">
      <c r="A138" s="218" t="s">
        <v>469</v>
      </c>
      <c r="B138" s="210" t="s">
        <v>472</v>
      </c>
      <c r="C138" s="177">
        <v>203440</v>
      </c>
      <c r="D138" s="177"/>
      <c r="E138" s="177"/>
      <c r="F138" s="177"/>
      <c r="G138" s="177"/>
      <c r="H138" s="177"/>
      <c r="I138" s="177"/>
      <c r="J138" s="177"/>
      <c r="K138" s="177"/>
      <c r="L138" s="177"/>
      <c r="M138" s="177"/>
      <c r="N138" s="236"/>
      <c r="O138" s="174">
        <f t="shared" si="34"/>
        <v>203440</v>
      </c>
      <c r="P138" s="23"/>
    </row>
    <row r="139" spans="1:16" ht="15.75">
      <c r="A139" s="218" t="s">
        <v>470</v>
      </c>
      <c r="B139" s="210" t="s">
        <v>473</v>
      </c>
      <c r="C139" s="177">
        <v>56000</v>
      </c>
      <c r="D139" s="177"/>
      <c r="E139" s="177"/>
      <c r="F139" s="177"/>
      <c r="G139" s="177"/>
      <c r="H139" s="177"/>
      <c r="I139" s="177"/>
      <c r="J139" s="177"/>
      <c r="K139" s="177"/>
      <c r="L139" s="177"/>
      <c r="M139" s="177"/>
      <c r="N139" s="236"/>
      <c r="O139" s="174">
        <f t="shared" si="34"/>
        <v>56000</v>
      </c>
      <c r="P139" s="23"/>
    </row>
    <row r="140" spans="1:16" ht="16.5" thickBot="1">
      <c r="A140" s="240" t="s">
        <v>471</v>
      </c>
      <c r="B140" s="241" t="s">
        <v>474</v>
      </c>
      <c r="C140" s="196">
        <v>39000</v>
      </c>
      <c r="D140" s="196"/>
      <c r="E140" s="196"/>
      <c r="F140" s="196"/>
      <c r="G140" s="196"/>
      <c r="H140" s="196"/>
      <c r="I140" s="196"/>
      <c r="J140" s="196"/>
      <c r="K140" s="196"/>
      <c r="L140" s="196"/>
      <c r="M140" s="196"/>
      <c r="N140" s="196"/>
      <c r="O140" s="174">
        <f t="shared" si="34"/>
        <v>39000</v>
      </c>
      <c r="P140" s="23"/>
    </row>
    <row r="141" spans="1:16" ht="15.75" thickBot="1">
      <c r="A141" s="190" t="s">
        <v>5</v>
      </c>
      <c r="B141" s="155" t="s">
        <v>72</v>
      </c>
      <c r="C141" s="156">
        <f>SUM(C142+C144+C145)</f>
        <v>43420</v>
      </c>
      <c r="D141" s="156">
        <f aca="true" t="shared" si="35" ref="D141:N141">SUM(D142+D144+D145)</f>
        <v>0</v>
      </c>
      <c r="E141" s="156">
        <f t="shared" si="35"/>
        <v>0</v>
      </c>
      <c r="F141" s="156">
        <f t="shared" si="35"/>
        <v>0</v>
      </c>
      <c r="G141" s="156">
        <f t="shared" si="35"/>
        <v>1930</v>
      </c>
      <c r="H141" s="156">
        <f t="shared" si="35"/>
        <v>0</v>
      </c>
      <c r="I141" s="156">
        <f t="shared" si="35"/>
        <v>0</v>
      </c>
      <c r="J141" s="156">
        <f t="shared" si="35"/>
        <v>0</v>
      </c>
      <c r="K141" s="156">
        <f t="shared" si="35"/>
        <v>3194</v>
      </c>
      <c r="L141" s="156">
        <f t="shared" si="35"/>
        <v>27085</v>
      </c>
      <c r="M141" s="156">
        <f t="shared" si="35"/>
        <v>550</v>
      </c>
      <c r="N141" s="156">
        <f t="shared" si="35"/>
        <v>2110</v>
      </c>
      <c r="O141" s="157">
        <f>SUM(C141:N141)</f>
        <v>78289</v>
      </c>
      <c r="P141" s="23"/>
    </row>
    <row r="142" spans="1:16" s="5" customFormat="1" ht="14.25">
      <c r="A142" s="158" t="s">
        <v>73</v>
      </c>
      <c r="B142" s="159" t="s">
        <v>74</v>
      </c>
      <c r="C142" s="160">
        <f>SUM(C143:C143)</f>
        <v>0</v>
      </c>
      <c r="D142" s="160">
        <f aca="true" t="shared" si="36" ref="D142:N142">SUM(D143:D143)</f>
        <v>0</v>
      </c>
      <c r="E142" s="160">
        <f t="shared" si="36"/>
        <v>0</v>
      </c>
      <c r="F142" s="160">
        <f t="shared" si="36"/>
        <v>0</v>
      </c>
      <c r="G142" s="160">
        <f>SUM(G143:G143)</f>
        <v>1930</v>
      </c>
      <c r="H142" s="160">
        <f t="shared" si="36"/>
        <v>0</v>
      </c>
      <c r="I142" s="160">
        <f t="shared" si="36"/>
        <v>0</v>
      </c>
      <c r="J142" s="160">
        <f t="shared" si="36"/>
        <v>0</v>
      </c>
      <c r="K142" s="160">
        <f t="shared" si="36"/>
        <v>3194</v>
      </c>
      <c r="L142" s="160">
        <f t="shared" si="36"/>
        <v>27085</v>
      </c>
      <c r="M142" s="160">
        <f t="shared" si="36"/>
        <v>550</v>
      </c>
      <c r="N142" s="160">
        <f t="shared" si="36"/>
        <v>2110</v>
      </c>
      <c r="O142" s="170">
        <f>SUM(C142:N142)</f>
        <v>34869</v>
      </c>
      <c r="P142" s="26"/>
    </row>
    <row r="143" spans="1:16" s="5" customFormat="1" ht="15">
      <c r="A143" s="175" t="s">
        <v>347</v>
      </c>
      <c r="B143" s="176" t="s">
        <v>187</v>
      </c>
      <c r="C143" s="160"/>
      <c r="D143" s="160"/>
      <c r="E143" s="160"/>
      <c r="F143" s="160"/>
      <c r="G143" s="168">
        <v>1930</v>
      </c>
      <c r="H143" s="160"/>
      <c r="I143" s="160"/>
      <c r="J143" s="160"/>
      <c r="K143" s="168">
        <v>3194</v>
      </c>
      <c r="L143" s="160">
        <v>27085</v>
      </c>
      <c r="M143" s="169">
        <v>550</v>
      </c>
      <c r="N143" s="242">
        <v>2110</v>
      </c>
      <c r="O143" s="170">
        <f>SUM(C143:N143)</f>
        <v>34869</v>
      </c>
      <c r="P143" s="26"/>
    </row>
    <row r="144" spans="1:16" s="5" customFormat="1" ht="28.5" customHeight="1">
      <c r="A144" s="218" t="s">
        <v>348</v>
      </c>
      <c r="B144" s="219" t="s">
        <v>349</v>
      </c>
      <c r="C144" s="167">
        <v>22324</v>
      </c>
      <c r="D144" s="160"/>
      <c r="E144" s="160"/>
      <c r="F144" s="160"/>
      <c r="G144" s="168"/>
      <c r="H144" s="160"/>
      <c r="I144" s="160"/>
      <c r="J144" s="160"/>
      <c r="K144" s="168"/>
      <c r="L144" s="160"/>
      <c r="M144" s="169"/>
      <c r="N144" s="243"/>
      <c r="O144" s="174">
        <f t="shared" si="34"/>
        <v>22324</v>
      </c>
      <c r="P144" s="26"/>
    </row>
    <row r="145" spans="1:16" ht="15.75" thickBot="1">
      <c r="A145" s="218" t="s">
        <v>438</v>
      </c>
      <c r="B145" s="244" t="s">
        <v>439</v>
      </c>
      <c r="C145" s="177">
        <v>21096</v>
      </c>
      <c r="D145" s="178"/>
      <c r="E145" s="178"/>
      <c r="F145" s="177"/>
      <c r="G145" s="178"/>
      <c r="H145" s="178"/>
      <c r="I145" s="178"/>
      <c r="J145" s="178"/>
      <c r="K145" s="178"/>
      <c r="L145" s="178"/>
      <c r="M145" s="178"/>
      <c r="N145" s="177"/>
      <c r="O145" s="174">
        <f t="shared" si="34"/>
        <v>21096</v>
      </c>
      <c r="P145" s="23"/>
    </row>
    <row r="146" spans="1:16" ht="15.75" thickBot="1">
      <c r="A146" s="190" t="s">
        <v>10</v>
      </c>
      <c r="B146" s="155" t="s">
        <v>75</v>
      </c>
      <c r="C146" s="156">
        <f aca="true" t="shared" si="37" ref="C146:N146">C147+C151+C170+C173</f>
        <v>2065390</v>
      </c>
      <c r="D146" s="156">
        <f t="shared" si="37"/>
        <v>391438</v>
      </c>
      <c r="E146" s="156">
        <f t="shared" si="37"/>
        <v>1594684</v>
      </c>
      <c r="F146" s="156">
        <f t="shared" si="37"/>
        <v>0</v>
      </c>
      <c r="G146" s="156">
        <f t="shared" si="37"/>
        <v>216496</v>
      </c>
      <c r="H146" s="156">
        <f t="shared" si="37"/>
        <v>95020</v>
      </c>
      <c r="I146" s="156">
        <f t="shared" si="37"/>
        <v>127008</v>
      </c>
      <c r="J146" s="156">
        <f t="shared" si="37"/>
        <v>192336</v>
      </c>
      <c r="K146" s="156">
        <f t="shared" si="37"/>
        <v>41829</v>
      </c>
      <c r="L146" s="156">
        <f t="shared" si="37"/>
        <v>36401</v>
      </c>
      <c r="M146" s="156">
        <f t="shared" si="37"/>
        <v>90667</v>
      </c>
      <c r="N146" s="156">
        <f t="shared" si="37"/>
        <v>62713</v>
      </c>
      <c r="O146" s="157">
        <f t="shared" si="34"/>
        <v>4913982</v>
      </c>
      <c r="P146" s="23"/>
    </row>
    <row r="147" spans="1:16" ht="15">
      <c r="A147" s="158" t="s">
        <v>76</v>
      </c>
      <c r="B147" s="159" t="s">
        <v>77</v>
      </c>
      <c r="C147" s="160">
        <f aca="true" t="shared" si="38" ref="C147:N147">SUM(C148:C150)</f>
        <v>462445</v>
      </c>
      <c r="D147" s="160">
        <f t="shared" si="38"/>
        <v>391438</v>
      </c>
      <c r="E147" s="160">
        <f t="shared" si="38"/>
        <v>0</v>
      </c>
      <c r="F147" s="160">
        <f t="shared" si="38"/>
        <v>0</v>
      </c>
      <c r="G147" s="160">
        <f t="shared" si="38"/>
        <v>5470</v>
      </c>
      <c r="H147" s="160">
        <f t="shared" si="38"/>
        <v>0</v>
      </c>
      <c r="I147" s="160">
        <f t="shared" si="38"/>
        <v>0</v>
      </c>
      <c r="J147" s="160">
        <f t="shared" si="38"/>
        <v>7072</v>
      </c>
      <c r="K147" s="160">
        <f t="shared" si="38"/>
        <v>0</v>
      </c>
      <c r="L147" s="160">
        <f t="shared" si="38"/>
        <v>0</v>
      </c>
      <c r="M147" s="160">
        <f t="shared" si="38"/>
        <v>10200</v>
      </c>
      <c r="N147" s="160">
        <f t="shared" si="38"/>
        <v>0</v>
      </c>
      <c r="O147" s="223">
        <f t="shared" si="34"/>
        <v>876625</v>
      </c>
      <c r="P147" s="23"/>
    </row>
    <row r="148" spans="1:16" ht="15">
      <c r="A148" s="175" t="s">
        <v>231</v>
      </c>
      <c r="B148" s="176" t="s">
        <v>78</v>
      </c>
      <c r="C148" s="177">
        <v>66185</v>
      </c>
      <c r="D148" s="178"/>
      <c r="E148" s="178"/>
      <c r="F148" s="177"/>
      <c r="G148" s="178">
        <v>5470</v>
      </c>
      <c r="H148" s="178"/>
      <c r="I148" s="178"/>
      <c r="J148" s="178">
        <v>7072</v>
      </c>
      <c r="K148" s="178"/>
      <c r="L148" s="178"/>
      <c r="M148" s="178">
        <v>10200</v>
      </c>
      <c r="N148" s="177"/>
      <c r="O148" s="174">
        <f t="shared" si="34"/>
        <v>88927</v>
      </c>
      <c r="P148" s="23"/>
    </row>
    <row r="149" spans="1:16" ht="30">
      <c r="A149" s="175" t="s">
        <v>232</v>
      </c>
      <c r="B149" s="176" t="s">
        <v>79</v>
      </c>
      <c r="C149" s="177">
        <v>396260</v>
      </c>
      <c r="D149" s="178"/>
      <c r="E149" s="178"/>
      <c r="F149" s="177"/>
      <c r="G149" s="178"/>
      <c r="H149" s="178"/>
      <c r="I149" s="178"/>
      <c r="J149" s="178"/>
      <c r="K149" s="178"/>
      <c r="L149" s="178"/>
      <c r="M149" s="178"/>
      <c r="N149" s="177"/>
      <c r="O149" s="174">
        <f t="shared" si="34"/>
        <v>396260</v>
      </c>
      <c r="P149" s="23"/>
    </row>
    <row r="150" spans="1:16" ht="15">
      <c r="A150" s="175" t="s">
        <v>311</v>
      </c>
      <c r="B150" s="176" t="s">
        <v>312</v>
      </c>
      <c r="C150" s="177"/>
      <c r="D150" s="177">
        <v>391438</v>
      </c>
      <c r="E150" s="177"/>
      <c r="F150" s="177"/>
      <c r="G150" s="178"/>
      <c r="H150" s="177"/>
      <c r="I150" s="177"/>
      <c r="J150" s="177"/>
      <c r="K150" s="177"/>
      <c r="L150" s="177"/>
      <c r="M150" s="177"/>
      <c r="N150" s="177"/>
      <c r="O150" s="174">
        <f t="shared" si="34"/>
        <v>391438</v>
      </c>
      <c r="P150" s="23"/>
    </row>
    <row r="151" spans="1:16" ht="15">
      <c r="A151" s="171" t="s">
        <v>80</v>
      </c>
      <c r="B151" s="179" t="s">
        <v>9</v>
      </c>
      <c r="C151" s="173">
        <f aca="true" t="shared" si="39" ref="C151:N151">SUM(C152+C153+C156+C160)</f>
        <v>1454821</v>
      </c>
      <c r="D151" s="173">
        <f t="shared" si="39"/>
        <v>0</v>
      </c>
      <c r="E151" s="173">
        <f t="shared" si="39"/>
        <v>1594684</v>
      </c>
      <c r="F151" s="173">
        <f t="shared" si="39"/>
        <v>0</v>
      </c>
      <c r="G151" s="173">
        <f t="shared" si="39"/>
        <v>211026</v>
      </c>
      <c r="H151" s="173">
        <f t="shared" si="39"/>
        <v>95020</v>
      </c>
      <c r="I151" s="173">
        <f t="shared" si="39"/>
        <v>123248</v>
      </c>
      <c r="J151" s="173">
        <f t="shared" si="39"/>
        <v>181475</v>
      </c>
      <c r="K151" s="173">
        <f t="shared" si="39"/>
        <v>41829</v>
      </c>
      <c r="L151" s="173">
        <f t="shared" si="39"/>
        <v>36401</v>
      </c>
      <c r="M151" s="173">
        <f t="shared" si="39"/>
        <v>80467</v>
      </c>
      <c r="N151" s="173">
        <f t="shared" si="39"/>
        <v>62713</v>
      </c>
      <c r="O151" s="174">
        <f t="shared" si="34"/>
        <v>3881684</v>
      </c>
      <c r="P151" s="23"/>
    </row>
    <row r="152" spans="1:16" ht="15">
      <c r="A152" s="175" t="s">
        <v>350</v>
      </c>
      <c r="B152" s="176" t="s">
        <v>188</v>
      </c>
      <c r="C152" s="177">
        <v>403186</v>
      </c>
      <c r="D152" s="178"/>
      <c r="E152" s="178"/>
      <c r="F152" s="177"/>
      <c r="G152" s="245">
        <v>32091</v>
      </c>
      <c r="H152" s="178">
        <v>30931</v>
      </c>
      <c r="I152" s="178">
        <v>14395</v>
      </c>
      <c r="J152" s="178">
        <v>31054</v>
      </c>
      <c r="K152" s="178">
        <v>15331</v>
      </c>
      <c r="L152" s="178">
        <v>14153</v>
      </c>
      <c r="M152" s="178">
        <v>16143</v>
      </c>
      <c r="N152" s="217">
        <v>16700</v>
      </c>
      <c r="O152" s="174">
        <f t="shared" si="34"/>
        <v>573984</v>
      </c>
      <c r="P152" s="23"/>
    </row>
    <row r="153" spans="1:16" ht="15">
      <c r="A153" s="175" t="s">
        <v>81</v>
      </c>
      <c r="B153" s="176" t="s">
        <v>118</v>
      </c>
      <c r="C153" s="177">
        <f aca="true" t="shared" si="40" ref="C153:N153">SUM(C154:C155)</f>
        <v>198636</v>
      </c>
      <c r="D153" s="177">
        <f t="shared" si="40"/>
        <v>0</v>
      </c>
      <c r="E153" s="177">
        <f t="shared" si="40"/>
        <v>0</v>
      </c>
      <c r="F153" s="177">
        <f t="shared" si="40"/>
        <v>0</v>
      </c>
      <c r="G153" s="177">
        <f t="shared" si="40"/>
        <v>0</v>
      </c>
      <c r="H153" s="177">
        <f t="shared" si="40"/>
        <v>0</v>
      </c>
      <c r="I153" s="177">
        <f t="shared" si="40"/>
        <v>0</v>
      </c>
      <c r="J153" s="177">
        <f t="shared" si="40"/>
        <v>0</v>
      </c>
      <c r="K153" s="177">
        <f t="shared" si="40"/>
        <v>0</v>
      </c>
      <c r="L153" s="177">
        <f t="shared" si="40"/>
        <v>0</v>
      </c>
      <c r="M153" s="177">
        <f t="shared" si="40"/>
        <v>11927</v>
      </c>
      <c r="N153" s="177">
        <f t="shared" si="40"/>
        <v>0</v>
      </c>
      <c r="O153" s="174">
        <f t="shared" si="34"/>
        <v>210563</v>
      </c>
      <c r="P153" s="23"/>
    </row>
    <row r="154" spans="1:16" ht="15">
      <c r="A154" s="175" t="s">
        <v>233</v>
      </c>
      <c r="B154" s="176" t="s">
        <v>287</v>
      </c>
      <c r="C154" s="177">
        <v>198636</v>
      </c>
      <c r="D154" s="178"/>
      <c r="E154" s="178"/>
      <c r="F154" s="177"/>
      <c r="G154" s="178"/>
      <c r="H154" s="178"/>
      <c r="I154" s="178"/>
      <c r="J154" s="178"/>
      <c r="K154" s="178"/>
      <c r="L154" s="178"/>
      <c r="M154" s="178"/>
      <c r="N154" s="214"/>
      <c r="O154" s="174">
        <f t="shared" si="34"/>
        <v>198636</v>
      </c>
      <c r="P154" s="23"/>
    </row>
    <row r="155" spans="1:16" ht="15">
      <c r="A155" s="175" t="s">
        <v>373</v>
      </c>
      <c r="B155" s="146" t="s">
        <v>374</v>
      </c>
      <c r="C155" s="177"/>
      <c r="D155" s="177"/>
      <c r="E155" s="177"/>
      <c r="F155" s="177"/>
      <c r="G155" s="177"/>
      <c r="H155" s="177"/>
      <c r="I155" s="177"/>
      <c r="J155" s="177"/>
      <c r="K155" s="177"/>
      <c r="L155" s="177"/>
      <c r="M155" s="178">
        <v>11927</v>
      </c>
      <c r="N155" s="214"/>
      <c r="O155" s="174">
        <f t="shared" si="34"/>
        <v>11927</v>
      </c>
      <c r="P155" s="23"/>
    </row>
    <row r="156" spans="1:16" ht="15">
      <c r="A156" s="175" t="s">
        <v>273</v>
      </c>
      <c r="B156" s="176" t="s">
        <v>234</v>
      </c>
      <c r="C156" s="177">
        <f aca="true" t="shared" si="41" ref="C156:N156">SUM(C157:C159)</f>
        <v>0</v>
      </c>
      <c r="D156" s="177">
        <f t="shared" si="41"/>
        <v>0</v>
      </c>
      <c r="E156" s="177">
        <f t="shared" si="41"/>
        <v>1594684</v>
      </c>
      <c r="F156" s="177">
        <f t="shared" si="41"/>
        <v>0</v>
      </c>
      <c r="G156" s="177">
        <f t="shared" si="41"/>
        <v>178935</v>
      </c>
      <c r="H156" s="177">
        <f t="shared" si="41"/>
        <v>64089</v>
      </c>
      <c r="I156" s="177">
        <f t="shared" si="41"/>
        <v>108853</v>
      </c>
      <c r="J156" s="177">
        <f t="shared" si="41"/>
        <v>150421</v>
      </c>
      <c r="K156" s="177">
        <f t="shared" si="41"/>
        <v>26498</v>
      </c>
      <c r="L156" s="177">
        <f t="shared" si="41"/>
        <v>22248</v>
      </c>
      <c r="M156" s="177">
        <f t="shared" si="41"/>
        <v>52397</v>
      </c>
      <c r="N156" s="177">
        <f t="shared" si="41"/>
        <v>38513</v>
      </c>
      <c r="O156" s="174">
        <f t="shared" si="34"/>
        <v>2236638</v>
      </c>
      <c r="P156" s="23"/>
    </row>
    <row r="157" spans="1:16" ht="15">
      <c r="A157" s="175" t="s">
        <v>352</v>
      </c>
      <c r="B157" s="176" t="s">
        <v>351</v>
      </c>
      <c r="C157" s="177"/>
      <c r="D157" s="178"/>
      <c r="E157" s="178">
        <v>412469</v>
      </c>
      <c r="F157" s="177"/>
      <c r="G157" s="245">
        <v>178935</v>
      </c>
      <c r="H157" s="178">
        <v>64089</v>
      </c>
      <c r="I157" s="178">
        <v>90320</v>
      </c>
      <c r="J157" s="178">
        <v>150421</v>
      </c>
      <c r="K157" s="178">
        <v>26498</v>
      </c>
      <c r="L157" s="178">
        <v>22248</v>
      </c>
      <c r="M157" s="178">
        <v>52397</v>
      </c>
      <c r="N157" s="204">
        <v>38513</v>
      </c>
      <c r="O157" s="174">
        <f t="shared" si="34"/>
        <v>1035890</v>
      </c>
      <c r="P157" s="23"/>
    </row>
    <row r="158" spans="1:16" ht="15">
      <c r="A158" s="175" t="s">
        <v>371</v>
      </c>
      <c r="B158" s="176" t="s">
        <v>372</v>
      </c>
      <c r="C158" s="177"/>
      <c r="D158" s="178"/>
      <c r="E158" s="178"/>
      <c r="F158" s="177"/>
      <c r="G158" s="245"/>
      <c r="H158" s="178"/>
      <c r="I158" s="178">
        <v>18533</v>
      </c>
      <c r="J158" s="178"/>
      <c r="K158" s="178"/>
      <c r="L158" s="178"/>
      <c r="M158" s="178"/>
      <c r="N158" s="214"/>
      <c r="O158" s="174">
        <f t="shared" si="34"/>
        <v>18533</v>
      </c>
      <c r="P158" s="23"/>
    </row>
    <row r="159" spans="1:16" ht="15">
      <c r="A159" s="175" t="s">
        <v>353</v>
      </c>
      <c r="B159" s="176" t="s">
        <v>119</v>
      </c>
      <c r="C159" s="177"/>
      <c r="D159" s="178"/>
      <c r="E159" s="178">
        <f>1104469+78143-397</f>
        <v>1182215</v>
      </c>
      <c r="F159" s="177"/>
      <c r="G159" s="178"/>
      <c r="H159" s="178"/>
      <c r="I159" s="178"/>
      <c r="J159" s="178"/>
      <c r="K159" s="178"/>
      <c r="L159" s="178"/>
      <c r="M159" s="178"/>
      <c r="N159" s="177"/>
      <c r="O159" s="174">
        <f t="shared" si="34"/>
        <v>1182215</v>
      </c>
      <c r="P159" s="23"/>
    </row>
    <row r="160" spans="1:16" s="5" customFormat="1" ht="14.25">
      <c r="A160" s="171" t="s">
        <v>82</v>
      </c>
      <c r="B160" s="172" t="s">
        <v>235</v>
      </c>
      <c r="C160" s="169">
        <f aca="true" t="shared" si="42" ref="C160:N160">SUM(C161:C169)</f>
        <v>852999</v>
      </c>
      <c r="D160" s="169">
        <f t="shared" si="42"/>
        <v>0</v>
      </c>
      <c r="E160" s="169">
        <f t="shared" si="42"/>
        <v>0</v>
      </c>
      <c r="F160" s="169">
        <f t="shared" si="42"/>
        <v>0</v>
      </c>
      <c r="G160" s="169">
        <f t="shared" si="42"/>
        <v>0</v>
      </c>
      <c r="H160" s="169">
        <f t="shared" si="42"/>
        <v>0</v>
      </c>
      <c r="I160" s="169">
        <f t="shared" si="42"/>
        <v>0</v>
      </c>
      <c r="J160" s="169">
        <f t="shared" si="42"/>
        <v>0</v>
      </c>
      <c r="K160" s="169">
        <f t="shared" si="42"/>
        <v>0</v>
      </c>
      <c r="L160" s="169">
        <f t="shared" si="42"/>
        <v>0</v>
      </c>
      <c r="M160" s="169">
        <f t="shared" si="42"/>
        <v>0</v>
      </c>
      <c r="N160" s="169">
        <f t="shared" si="42"/>
        <v>7500</v>
      </c>
      <c r="O160" s="174">
        <f t="shared" si="34"/>
        <v>860499</v>
      </c>
      <c r="P160" s="26"/>
    </row>
    <row r="161" spans="1:16" ht="15">
      <c r="A161" s="175" t="s">
        <v>236</v>
      </c>
      <c r="B161" s="146" t="s">
        <v>354</v>
      </c>
      <c r="C161" s="177">
        <v>93885</v>
      </c>
      <c r="D161" s="178"/>
      <c r="E161" s="178"/>
      <c r="F161" s="177"/>
      <c r="G161" s="178"/>
      <c r="H161" s="178"/>
      <c r="I161" s="178"/>
      <c r="J161" s="178"/>
      <c r="K161" s="178"/>
      <c r="L161" s="178"/>
      <c r="M161" s="178"/>
      <c r="N161" s="177">
        <v>7500</v>
      </c>
      <c r="O161" s="174">
        <f t="shared" si="34"/>
        <v>101385</v>
      </c>
      <c r="P161" s="23"/>
    </row>
    <row r="162" spans="1:16" ht="15">
      <c r="A162" s="175" t="s">
        <v>237</v>
      </c>
      <c r="B162" s="146" t="s">
        <v>120</v>
      </c>
      <c r="C162" s="177">
        <v>158278</v>
      </c>
      <c r="D162" s="178"/>
      <c r="E162" s="178"/>
      <c r="F162" s="177"/>
      <c r="G162" s="178"/>
      <c r="H162" s="178"/>
      <c r="I162" s="178"/>
      <c r="J162" s="178"/>
      <c r="K162" s="178"/>
      <c r="L162" s="178"/>
      <c r="M162" s="178"/>
      <c r="N162" s="177"/>
      <c r="O162" s="174">
        <f t="shared" si="34"/>
        <v>158278</v>
      </c>
      <c r="P162" s="23"/>
    </row>
    <row r="163" spans="1:16" ht="15">
      <c r="A163" s="175" t="s">
        <v>238</v>
      </c>
      <c r="B163" s="234" t="s">
        <v>121</v>
      </c>
      <c r="C163" s="177">
        <v>500</v>
      </c>
      <c r="D163" s="178"/>
      <c r="E163" s="178"/>
      <c r="F163" s="177"/>
      <c r="G163" s="178"/>
      <c r="H163" s="178"/>
      <c r="I163" s="178"/>
      <c r="J163" s="178"/>
      <c r="K163" s="178"/>
      <c r="L163" s="178"/>
      <c r="M163" s="178"/>
      <c r="N163" s="177"/>
      <c r="O163" s="174">
        <f t="shared" si="34"/>
        <v>500</v>
      </c>
      <c r="P163" s="23"/>
    </row>
    <row r="164" spans="1:16" ht="15">
      <c r="A164" s="175" t="s">
        <v>239</v>
      </c>
      <c r="B164" s="234" t="s">
        <v>189</v>
      </c>
      <c r="C164" s="177">
        <v>285477</v>
      </c>
      <c r="D164" s="178"/>
      <c r="E164" s="178"/>
      <c r="F164" s="177"/>
      <c r="G164" s="178"/>
      <c r="H164" s="178"/>
      <c r="I164" s="178"/>
      <c r="J164" s="178"/>
      <c r="K164" s="178"/>
      <c r="L164" s="178"/>
      <c r="M164" s="178"/>
      <c r="N164" s="177"/>
      <c r="O164" s="174">
        <f t="shared" si="34"/>
        <v>285477</v>
      </c>
      <c r="P164" s="23"/>
    </row>
    <row r="165" spans="1:16" ht="30">
      <c r="A165" s="175" t="s">
        <v>355</v>
      </c>
      <c r="B165" s="146" t="s">
        <v>356</v>
      </c>
      <c r="C165" s="177">
        <v>20000</v>
      </c>
      <c r="D165" s="178"/>
      <c r="E165" s="178"/>
      <c r="F165" s="177"/>
      <c r="G165" s="178"/>
      <c r="H165" s="178"/>
      <c r="I165" s="178"/>
      <c r="J165" s="178"/>
      <c r="K165" s="178"/>
      <c r="L165" s="178"/>
      <c r="M165" s="178"/>
      <c r="N165" s="177"/>
      <c r="O165" s="174">
        <f t="shared" si="34"/>
        <v>20000</v>
      </c>
      <c r="P165" s="23"/>
    </row>
    <row r="166" spans="1:16" ht="30">
      <c r="A166" s="218" t="s">
        <v>440</v>
      </c>
      <c r="B166" s="246" t="s">
        <v>441</v>
      </c>
      <c r="C166" s="177">
        <v>167444</v>
      </c>
      <c r="D166" s="178"/>
      <c r="E166" s="178"/>
      <c r="F166" s="177"/>
      <c r="G166" s="178"/>
      <c r="H166" s="178"/>
      <c r="I166" s="178"/>
      <c r="J166" s="178"/>
      <c r="K166" s="178"/>
      <c r="L166" s="178"/>
      <c r="M166" s="178"/>
      <c r="N166" s="177"/>
      <c r="O166" s="174">
        <f t="shared" si="34"/>
        <v>167444</v>
      </c>
      <c r="P166" s="23"/>
    </row>
    <row r="167" spans="1:16" ht="45">
      <c r="A167" s="175" t="s">
        <v>313</v>
      </c>
      <c r="B167" s="247" t="s">
        <v>320</v>
      </c>
      <c r="C167" s="177">
        <v>20000</v>
      </c>
      <c r="D167" s="178"/>
      <c r="E167" s="178"/>
      <c r="F167" s="177"/>
      <c r="G167" s="178"/>
      <c r="H167" s="178"/>
      <c r="I167" s="178"/>
      <c r="J167" s="178"/>
      <c r="K167" s="178"/>
      <c r="L167" s="178"/>
      <c r="M167" s="178"/>
      <c r="N167" s="177"/>
      <c r="O167" s="174">
        <f t="shared" si="34"/>
        <v>20000</v>
      </c>
      <c r="P167" s="23"/>
    </row>
    <row r="168" spans="1:16" ht="47.25">
      <c r="A168" s="218" t="s">
        <v>442</v>
      </c>
      <c r="B168" s="210" t="s">
        <v>476</v>
      </c>
      <c r="C168" s="177">
        <v>53540</v>
      </c>
      <c r="D168" s="178"/>
      <c r="E168" s="178"/>
      <c r="F168" s="177"/>
      <c r="G168" s="178"/>
      <c r="H168" s="178"/>
      <c r="I168" s="178"/>
      <c r="J168" s="178"/>
      <c r="K168" s="178"/>
      <c r="L168" s="178"/>
      <c r="M168" s="178"/>
      <c r="N168" s="177"/>
      <c r="O168" s="174">
        <f t="shared" si="34"/>
        <v>53540</v>
      </c>
      <c r="P168" s="23"/>
    </row>
    <row r="169" spans="1:16" ht="45">
      <c r="A169" s="218" t="s">
        <v>443</v>
      </c>
      <c r="B169" s="248" t="s">
        <v>444</v>
      </c>
      <c r="C169" s="177">
        <v>53875</v>
      </c>
      <c r="D169" s="178"/>
      <c r="E169" s="178"/>
      <c r="F169" s="177"/>
      <c r="G169" s="178"/>
      <c r="H169" s="178"/>
      <c r="I169" s="178"/>
      <c r="J169" s="178"/>
      <c r="K169" s="178"/>
      <c r="L169" s="178"/>
      <c r="M169" s="178"/>
      <c r="N169" s="177"/>
      <c r="O169" s="174">
        <f t="shared" si="34"/>
        <v>53875</v>
      </c>
      <c r="P169" s="23"/>
    </row>
    <row r="170" spans="1:16" ht="15">
      <c r="A170" s="171" t="s">
        <v>357</v>
      </c>
      <c r="B170" s="249" t="s">
        <v>358</v>
      </c>
      <c r="C170" s="177">
        <f aca="true" t="shared" si="43" ref="C170:N170">SUM(C171:C172)</f>
        <v>133124</v>
      </c>
      <c r="D170" s="177">
        <f t="shared" si="43"/>
        <v>0</v>
      </c>
      <c r="E170" s="177">
        <f t="shared" si="43"/>
        <v>0</v>
      </c>
      <c r="F170" s="177">
        <f t="shared" si="43"/>
        <v>0</v>
      </c>
      <c r="G170" s="177">
        <f t="shared" si="43"/>
        <v>0</v>
      </c>
      <c r="H170" s="177">
        <f t="shared" si="43"/>
        <v>0</v>
      </c>
      <c r="I170" s="177">
        <f t="shared" si="43"/>
        <v>3760</v>
      </c>
      <c r="J170" s="177">
        <f t="shared" si="43"/>
        <v>3789</v>
      </c>
      <c r="K170" s="177">
        <f t="shared" si="43"/>
        <v>0</v>
      </c>
      <c r="L170" s="177">
        <f t="shared" si="43"/>
        <v>0</v>
      </c>
      <c r="M170" s="177">
        <f t="shared" si="43"/>
        <v>0</v>
      </c>
      <c r="N170" s="177">
        <f t="shared" si="43"/>
        <v>0</v>
      </c>
      <c r="O170" s="174">
        <f t="shared" si="34"/>
        <v>140673</v>
      </c>
      <c r="P170" s="23"/>
    </row>
    <row r="171" spans="1:16" ht="15">
      <c r="A171" s="250" t="s">
        <v>445</v>
      </c>
      <c r="B171" s="172" t="s">
        <v>83</v>
      </c>
      <c r="C171" s="173">
        <v>60000</v>
      </c>
      <c r="D171" s="169"/>
      <c r="E171" s="169"/>
      <c r="F171" s="173"/>
      <c r="G171" s="178"/>
      <c r="H171" s="178"/>
      <c r="I171" s="178"/>
      <c r="J171" s="178"/>
      <c r="K171" s="178"/>
      <c r="L171" s="178"/>
      <c r="M171" s="178"/>
      <c r="N171" s="177"/>
      <c r="O171" s="174">
        <f t="shared" si="34"/>
        <v>60000</v>
      </c>
      <c r="P171" s="23"/>
    </row>
    <row r="172" spans="1:16" ht="29.25">
      <c r="A172" s="250" t="s">
        <v>447</v>
      </c>
      <c r="B172" s="172" t="s">
        <v>108</v>
      </c>
      <c r="C172" s="173">
        <v>73124</v>
      </c>
      <c r="D172" s="169"/>
      <c r="E172" s="169"/>
      <c r="F172" s="173"/>
      <c r="G172" s="178"/>
      <c r="H172" s="178"/>
      <c r="I172" s="178">
        <v>3760</v>
      </c>
      <c r="J172" s="178">
        <v>3789</v>
      </c>
      <c r="K172" s="178"/>
      <c r="L172" s="178"/>
      <c r="M172" s="178"/>
      <c r="N172" s="177"/>
      <c r="O172" s="174">
        <f t="shared" si="34"/>
        <v>80673</v>
      </c>
      <c r="P172" s="23"/>
    </row>
    <row r="173" spans="1:16" ht="30" thickBot="1">
      <c r="A173" s="251" t="s">
        <v>446</v>
      </c>
      <c r="B173" s="252" t="s">
        <v>359</v>
      </c>
      <c r="C173" s="201">
        <v>15000</v>
      </c>
      <c r="D173" s="253"/>
      <c r="E173" s="253"/>
      <c r="F173" s="201"/>
      <c r="G173" s="197"/>
      <c r="H173" s="197"/>
      <c r="I173" s="197"/>
      <c r="J173" s="197"/>
      <c r="K173" s="197"/>
      <c r="L173" s="197"/>
      <c r="M173" s="197"/>
      <c r="N173" s="196"/>
      <c r="O173" s="174">
        <f t="shared" si="34"/>
        <v>15000</v>
      </c>
      <c r="P173" s="23"/>
    </row>
    <row r="174" spans="1:16" ht="15.75" thickBot="1">
      <c r="A174" s="254" t="s">
        <v>84</v>
      </c>
      <c r="B174" s="222" t="s">
        <v>7</v>
      </c>
      <c r="C174" s="255">
        <f aca="true" t="shared" si="44" ref="C174:N174">C175+C185+C186+C196+C202+C205+C206</f>
        <v>16336057</v>
      </c>
      <c r="D174" s="255">
        <f t="shared" si="44"/>
        <v>0</v>
      </c>
      <c r="E174" s="255">
        <f t="shared" si="44"/>
        <v>0</v>
      </c>
      <c r="F174" s="255">
        <f t="shared" si="44"/>
        <v>0</v>
      </c>
      <c r="G174" s="255">
        <f t="shared" si="44"/>
        <v>1347373</v>
      </c>
      <c r="H174" s="255">
        <f t="shared" si="44"/>
        <v>0</v>
      </c>
      <c r="I174" s="255">
        <f t="shared" si="44"/>
        <v>418607</v>
      </c>
      <c r="J174" s="255">
        <f t="shared" si="44"/>
        <v>1245368</v>
      </c>
      <c r="K174" s="255">
        <f t="shared" si="44"/>
        <v>33680</v>
      </c>
      <c r="L174" s="255">
        <f t="shared" si="44"/>
        <v>23440</v>
      </c>
      <c r="M174" s="255">
        <f t="shared" si="44"/>
        <v>34786</v>
      </c>
      <c r="N174" s="255">
        <f t="shared" si="44"/>
        <v>568278</v>
      </c>
      <c r="O174" s="157">
        <f t="shared" si="34"/>
        <v>20007589</v>
      </c>
      <c r="P174" s="23"/>
    </row>
    <row r="175" spans="1:16" ht="15">
      <c r="A175" s="158" t="s">
        <v>85</v>
      </c>
      <c r="B175" s="159" t="s">
        <v>277</v>
      </c>
      <c r="C175" s="160">
        <f aca="true" t="shared" si="45" ref="C175:N175">SUM(C176:C184)</f>
        <v>4638042</v>
      </c>
      <c r="D175" s="160">
        <f t="shared" si="45"/>
        <v>0</v>
      </c>
      <c r="E175" s="160">
        <f t="shared" si="45"/>
        <v>0</v>
      </c>
      <c r="F175" s="160">
        <f t="shared" si="45"/>
        <v>0</v>
      </c>
      <c r="G175" s="160">
        <f t="shared" si="45"/>
        <v>0</v>
      </c>
      <c r="H175" s="160">
        <f t="shared" si="45"/>
        <v>0</v>
      </c>
      <c r="I175" s="160">
        <f t="shared" si="45"/>
        <v>0</v>
      </c>
      <c r="J175" s="160">
        <f t="shared" si="45"/>
        <v>352641</v>
      </c>
      <c r="K175" s="160">
        <f t="shared" si="45"/>
        <v>0</v>
      </c>
      <c r="L175" s="160">
        <f t="shared" si="45"/>
        <v>0</v>
      </c>
      <c r="M175" s="160">
        <f t="shared" si="45"/>
        <v>0</v>
      </c>
      <c r="N175" s="160">
        <f t="shared" si="45"/>
        <v>0</v>
      </c>
      <c r="O175" s="223">
        <f t="shared" si="34"/>
        <v>4990683</v>
      </c>
      <c r="P175" s="23"/>
    </row>
    <row r="176" spans="1:16" ht="15">
      <c r="A176" s="175" t="s">
        <v>240</v>
      </c>
      <c r="B176" s="176" t="s">
        <v>86</v>
      </c>
      <c r="C176" s="177">
        <v>850445</v>
      </c>
      <c r="D176" s="178"/>
      <c r="E176" s="178"/>
      <c r="F176" s="177"/>
      <c r="G176" s="178"/>
      <c r="H176" s="178"/>
      <c r="I176" s="178"/>
      <c r="J176" s="178"/>
      <c r="K176" s="178"/>
      <c r="L176" s="178"/>
      <c r="M176" s="178"/>
      <c r="N176" s="177"/>
      <c r="O176" s="174">
        <f aca="true" t="shared" si="46" ref="O176:O200">SUM(C176:N176)</f>
        <v>850445</v>
      </c>
      <c r="P176" s="23"/>
    </row>
    <row r="177" spans="1:16" ht="15">
      <c r="A177" s="175" t="s">
        <v>241</v>
      </c>
      <c r="B177" s="176" t="s">
        <v>87</v>
      </c>
      <c r="C177" s="177">
        <v>626427</v>
      </c>
      <c r="D177" s="178"/>
      <c r="E177" s="178"/>
      <c r="F177" s="177"/>
      <c r="G177" s="178"/>
      <c r="H177" s="178"/>
      <c r="I177" s="178"/>
      <c r="J177" s="178"/>
      <c r="K177" s="178"/>
      <c r="L177" s="178"/>
      <c r="M177" s="178"/>
      <c r="N177" s="177"/>
      <c r="O177" s="174">
        <f t="shared" si="46"/>
        <v>626427</v>
      </c>
      <c r="P177" s="23"/>
    </row>
    <row r="178" spans="1:16" ht="15">
      <c r="A178" s="175" t="s">
        <v>242</v>
      </c>
      <c r="B178" s="176" t="s">
        <v>88</v>
      </c>
      <c r="C178" s="177">
        <v>655765</v>
      </c>
      <c r="D178" s="178"/>
      <c r="E178" s="178"/>
      <c r="F178" s="177"/>
      <c r="G178" s="178"/>
      <c r="H178" s="178"/>
      <c r="I178" s="178"/>
      <c r="J178" s="178"/>
      <c r="K178" s="178"/>
      <c r="L178" s="178"/>
      <c r="M178" s="178"/>
      <c r="N178" s="177"/>
      <c r="O178" s="174">
        <f t="shared" si="46"/>
        <v>655765</v>
      </c>
      <c r="P178" s="23"/>
    </row>
    <row r="179" spans="1:16" ht="15">
      <c r="A179" s="175" t="s">
        <v>243</v>
      </c>
      <c r="B179" s="176" t="s">
        <v>89</v>
      </c>
      <c r="C179" s="177">
        <v>727519</v>
      </c>
      <c r="D179" s="178"/>
      <c r="E179" s="178"/>
      <c r="F179" s="177"/>
      <c r="G179" s="178"/>
      <c r="H179" s="178"/>
      <c r="I179" s="178"/>
      <c r="J179" s="178"/>
      <c r="K179" s="178"/>
      <c r="L179" s="178"/>
      <c r="M179" s="178"/>
      <c r="N179" s="177"/>
      <c r="O179" s="174">
        <f t="shared" si="46"/>
        <v>727519</v>
      </c>
      <c r="P179" s="23"/>
    </row>
    <row r="180" spans="1:16" ht="15">
      <c r="A180" s="175" t="s">
        <v>244</v>
      </c>
      <c r="B180" s="176" t="s">
        <v>90</v>
      </c>
      <c r="C180" s="177">
        <v>411221</v>
      </c>
      <c r="D180" s="178"/>
      <c r="E180" s="178"/>
      <c r="F180" s="177"/>
      <c r="G180" s="178"/>
      <c r="H180" s="178"/>
      <c r="I180" s="178"/>
      <c r="J180" s="178"/>
      <c r="K180" s="178"/>
      <c r="L180" s="178"/>
      <c r="M180" s="178"/>
      <c r="N180" s="177"/>
      <c r="O180" s="174">
        <f t="shared" si="46"/>
        <v>411221</v>
      </c>
      <c r="P180" s="23"/>
    </row>
    <row r="181" spans="1:16" ht="15">
      <c r="A181" s="175" t="s">
        <v>245</v>
      </c>
      <c r="B181" s="176" t="s">
        <v>126</v>
      </c>
      <c r="C181" s="177">
        <v>783775</v>
      </c>
      <c r="D181" s="178"/>
      <c r="E181" s="178"/>
      <c r="F181" s="177"/>
      <c r="G181" s="178"/>
      <c r="H181" s="178"/>
      <c r="I181" s="178"/>
      <c r="J181" s="178"/>
      <c r="K181" s="178"/>
      <c r="L181" s="178"/>
      <c r="M181" s="178"/>
      <c r="N181" s="177"/>
      <c r="O181" s="174">
        <f t="shared" si="46"/>
        <v>783775</v>
      </c>
      <c r="P181" s="23"/>
    </row>
    <row r="182" spans="1:16" ht="15">
      <c r="A182" s="175" t="s">
        <v>246</v>
      </c>
      <c r="B182" s="176" t="s">
        <v>190</v>
      </c>
      <c r="C182" s="177">
        <v>402890</v>
      </c>
      <c r="D182" s="177"/>
      <c r="E182" s="177"/>
      <c r="F182" s="177"/>
      <c r="G182" s="178"/>
      <c r="H182" s="178"/>
      <c r="I182" s="178"/>
      <c r="J182" s="177"/>
      <c r="K182" s="177"/>
      <c r="L182" s="177"/>
      <c r="M182" s="177"/>
      <c r="N182" s="177"/>
      <c r="O182" s="174">
        <f t="shared" si="46"/>
        <v>402890</v>
      </c>
      <c r="P182" s="23"/>
    </row>
    <row r="183" spans="1:16" ht="15">
      <c r="A183" s="175" t="s">
        <v>247</v>
      </c>
      <c r="B183" s="176" t="s">
        <v>153</v>
      </c>
      <c r="C183" s="177"/>
      <c r="D183" s="177"/>
      <c r="E183" s="177"/>
      <c r="F183" s="177"/>
      <c r="G183" s="178"/>
      <c r="H183" s="178"/>
      <c r="I183" s="178"/>
      <c r="J183" s="178">
        <v>352641</v>
      </c>
      <c r="K183" s="177"/>
      <c r="L183" s="177"/>
      <c r="M183" s="177"/>
      <c r="N183" s="177"/>
      <c r="O183" s="174">
        <f t="shared" si="46"/>
        <v>352641</v>
      </c>
      <c r="P183" s="23"/>
    </row>
    <row r="184" spans="1:16" ht="30">
      <c r="A184" s="175" t="s">
        <v>248</v>
      </c>
      <c r="B184" s="176" t="s">
        <v>282</v>
      </c>
      <c r="C184" s="177">
        <v>180000</v>
      </c>
      <c r="D184" s="177"/>
      <c r="E184" s="177"/>
      <c r="F184" s="177"/>
      <c r="G184" s="178"/>
      <c r="H184" s="178"/>
      <c r="I184" s="178"/>
      <c r="J184" s="177"/>
      <c r="K184" s="177"/>
      <c r="L184" s="177"/>
      <c r="M184" s="177"/>
      <c r="N184" s="236"/>
      <c r="O184" s="174">
        <f>SUM(C184:N184)</f>
        <v>180000</v>
      </c>
      <c r="P184" s="23"/>
    </row>
    <row r="185" spans="1:16" ht="15">
      <c r="A185" s="171" t="s">
        <v>91</v>
      </c>
      <c r="B185" s="172" t="s">
        <v>249</v>
      </c>
      <c r="C185" s="177">
        <v>1126647</v>
      </c>
      <c r="D185" s="177"/>
      <c r="E185" s="177"/>
      <c r="F185" s="177"/>
      <c r="G185" s="245"/>
      <c r="H185" s="177"/>
      <c r="I185" s="177"/>
      <c r="J185" s="177"/>
      <c r="K185" s="177"/>
      <c r="L185" s="177"/>
      <c r="M185" s="177"/>
      <c r="N185" s="177"/>
      <c r="O185" s="174">
        <f>SUM(C185:N185)</f>
        <v>1126647</v>
      </c>
      <c r="P185" s="23"/>
    </row>
    <row r="186" spans="1:16" ht="29.25">
      <c r="A186" s="171" t="s">
        <v>156</v>
      </c>
      <c r="B186" s="172" t="s">
        <v>250</v>
      </c>
      <c r="C186" s="173">
        <f aca="true" t="shared" si="47" ref="C186:N186">SUM(C187:C195)</f>
        <v>4693487</v>
      </c>
      <c r="D186" s="173">
        <f t="shared" si="47"/>
        <v>0</v>
      </c>
      <c r="E186" s="173">
        <f t="shared" si="47"/>
        <v>0</v>
      </c>
      <c r="F186" s="173">
        <f t="shared" si="47"/>
        <v>0</v>
      </c>
      <c r="G186" s="169">
        <f t="shared" si="47"/>
        <v>1225688</v>
      </c>
      <c r="H186" s="173">
        <f t="shared" si="47"/>
        <v>0</v>
      </c>
      <c r="I186" s="173">
        <f t="shared" si="47"/>
        <v>397340</v>
      </c>
      <c r="J186" s="173">
        <f t="shared" si="47"/>
        <v>569563</v>
      </c>
      <c r="K186" s="173">
        <f t="shared" si="47"/>
        <v>0</v>
      </c>
      <c r="L186" s="173">
        <f t="shared" si="47"/>
        <v>1480</v>
      </c>
      <c r="M186" s="173">
        <f t="shared" si="47"/>
        <v>20139</v>
      </c>
      <c r="N186" s="173">
        <f t="shared" si="47"/>
        <v>549467</v>
      </c>
      <c r="O186" s="174">
        <f t="shared" si="46"/>
        <v>7457164</v>
      </c>
      <c r="P186" s="23"/>
    </row>
    <row r="187" spans="1:16" ht="15">
      <c r="A187" s="175" t="s">
        <v>251</v>
      </c>
      <c r="B187" s="176" t="s">
        <v>92</v>
      </c>
      <c r="C187" s="177">
        <v>2108933</v>
      </c>
      <c r="D187" s="178"/>
      <c r="E187" s="178"/>
      <c r="F187" s="177"/>
      <c r="G187" s="178"/>
      <c r="H187" s="178"/>
      <c r="I187" s="178"/>
      <c r="J187" s="178"/>
      <c r="K187" s="178"/>
      <c r="L187" s="178"/>
      <c r="M187" s="178"/>
      <c r="N187" s="177"/>
      <c r="O187" s="174">
        <f t="shared" si="46"/>
        <v>2108933</v>
      </c>
      <c r="P187" s="23"/>
    </row>
    <row r="188" spans="1:16" ht="15">
      <c r="A188" s="175" t="s">
        <v>252</v>
      </c>
      <c r="B188" s="176" t="s">
        <v>93</v>
      </c>
      <c r="C188" s="177">
        <v>1074301</v>
      </c>
      <c r="D188" s="178"/>
      <c r="E188" s="178"/>
      <c r="F188" s="177"/>
      <c r="G188" s="178"/>
      <c r="H188" s="178"/>
      <c r="I188" s="178"/>
      <c r="J188" s="178"/>
      <c r="K188" s="178"/>
      <c r="L188" s="178"/>
      <c r="M188" s="178"/>
      <c r="N188" s="177"/>
      <c r="O188" s="174">
        <f t="shared" si="46"/>
        <v>1074301</v>
      </c>
      <c r="P188" s="23"/>
    </row>
    <row r="189" spans="1:16" ht="15">
      <c r="A189" s="175" t="s">
        <v>253</v>
      </c>
      <c r="B189" s="176" t="s">
        <v>94</v>
      </c>
      <c r="C189" s="177">
        <v>1096137</v>
      </c>
      <c r="D189" s="178"/>
      <c r="E189" s="178"/>
      <c r="F189" s="177"/>
      <c r="G189" s="178"/>
      <c r="H189" s="178"/>
      <c r="I189" s="178"/>
      <c r="J189" s="178"/>
      <c r="K189" s="178"/>
      <c r="L189" s="178"/>
      <c r="M189" s="178"/>
      <c r="N189" s="177"/>
      <c r="O189" s="174">
        <f t="shared" si="46"/>
        <v>1096137</v>
      </c>
      <c r="P189" s="23"/>
    </row>
    <row r="190" spans="1:16" ht="15">
      <c r="A190" s="175" t="s">
        <v>254</v>
      </c>
      <c r="B190" s="176" t="s">
        <v>95</v>
      </c>
      <c r="C190" s="177">
        <v>414116</v>
      </c>
      <c r="D190" s="178"/>
      <c r="E190" s="178"/>
      <c r="F190" s="177"/>
      <c r="G190" s="178"/>
      <c r="H190" s="178"/>
      <c r="I190" s="178"/>
      <c r="J190" s="178"/>
      <c r="K190" s="178"/>
      <c r="L190" s="178"/>
      <c r="M190" s="178"/>
      <c r="N190" s="177"/>
      <c r="O190" s="174">
        <f t="shared" si="46"/>
        <v>414116</v>
      </c>
      <c r="P190" s="23"/>
    </row>
    <row r="191" spans="1:16" ht="15">
      <c r="A191" s="175" t="s">
        <v>255</v>
      </c>
      <c r="B191" s="176" t="s">
        <v>154</v>
      </c>
      <c r="C191" s="177"/>
      <c r="D191" s="178"/>
      <c r="E191" s="178"/>
      <c r="F191" s="177"/>
      <c r="G191" s="178"/>
      <c r="H191" s="178"/>
      <c r="I191" s="178">
        <v>397340</v>
      </c>
      <c r="J191" s="177"/>
      <c r="K191" s="177"/>
      <c r="L191" s="177"/>
      <c r="M191" s="177"/>
      <c r="N191" s="177"/>
      <c r="O191" s="174">
        <f t="shared" si="46"/>
        <v>397340</v>
      </c>
      <c r="P191" s="23"/>
    </row>
    <row r="192" spans="1:16" ht="15">
      <c r="A192" s="175" t="s">
        <v>256</v>
      </c>
      <c r="B192" s="176" t="s">
        <v>155</v>
      </c>
      <c r="C192" s="177"/>
      <c r="D192" s="178"/>
      <c r="E192" s="178"/>
      <c r="F192" s="177"/>
      <c r="G192" s="178"/>
      <c r="H192" s="178"/>
      <c r="I192" s="178"/>
      <c r="J192" s="178">
        <f>568725+838</f>
        <v>569563</v>
      </c>
      <c r="K192" s="177"/>
      <c r="L192" s="177"/>
      <c r="M192" s="177"/>
      <c r="N192" s="177"/>
      <c r="O192" s="174">
        <f t="shared" si="46"/>
        <v>569563</v>
      </c>
      <c r="P192" s="23"/>
    </row>
    <row r="193" spans="1:16" ht="15">
      <c r="A193" s="175" t="s">
        <v>257</v>
      </c>
      <c r="B193" s="176" t="s">
        <v>294</v>
      </c>
      <c r="C193" s="177"/>
      <c r="D193" s="178"/>
      <c r="E193" s="178"/>
      <c r="F193" s="177"/>
      <c r="G193" s="178"/>
      <c r="H193" s="178"/>
      <c r="I193" s="178"/>
      <c r="J193" s="177"/>
      <c r="K193" s="177"/>
      <c r="L193" s="177">
        <v>1480</v>
      </c>
      <c r="M193" s="178">
        <v>20139</v>
      </c>
      <c r="N193" s="217">
        <v>549467</v>
      </c>
      <c r="O193" s="174">
        <f t="shared" si="46"/>
        <v>571086</v>
      </c>
      <c r="P193" s="23"/>
    </row>
    <row r="194" spans="1:16" ht="15">
      <c r="A194" s="175" t="s">
        <v>258</v>
      </c>
      <c r="B194" s="176" t="s">
        <v>157</v>
      </c>
      <c r="C194" s="177"/>
      <c r="D194" s="178"/>
      <c r="E194" s="178"/>
      <c r="F194" s="177"/>
      <c r="G194" s="245">
        <f>848668+1675</f>
        <v>850343</v>
      </c>
      <c r="H194" s="178"/>
      <c r="I194" s="178"/>
      <c r="J194" s="177"/>
      <c r="K194" s="177"/>
      <c r="L194" s="177"/>
      <c r="M194" s="177"/>
      <c r="N194" s="177"/>
      <c r="O194" s="174">
        <f t="shared" si="46"/>
        <v>850343</v>
      </c>
      <c r="P194" s="23"/>
    </row>
    <row r="195" spans="1:16" ht="15">
      <c r="A195" s="175" t="s">
        <v>259</v>
      </c>
      <c r="B195" s="176" t="s">
        <v>395</v>
      </c>
      <c r="C195" s="177"/>
      <c r="D195" s="177"/>
      <c r="E195" s="177"/>
      <c r="F195" s="177"/>
      <c r="G195" s="245">
        <v>375345</v>
      </c>
      <c r="H195" s="178"/>
      <c r="I195" s="178"/>
      <c r="J195" s="177"/>
      <c r="K195" s="177"/>
      <c r="L195" s="177"/>
      <c r="M195" s="177"/>
      <c r="N195" s="177"/>
      <c r="O195" s="174">
        <f t="shared" si="46"/>
        <v>375345</v>
      </c>
      <c r="P195" s="23"/>
    </row>
    <row r="196" spans="1:16" ht="15" customHeight="1">
      <c r="A196" s="171" t="s">
        <v>96</v>
      </c>
      <c r="B196" s="172" t="s">
        <v>97</v>
      </c>
      <c r="C196" s="173">
        <f aca="true" t="shared" si="48" ref="C196:N196">SUM(C197:C201)</f>
        <v>2376813</v>
      </c>
      <c r="D196" s="173">
        <f t="shared" si="48"/>
        <v>0</v>
      </c>
      <c r="E196" s="173">
        <f t="shared" si="48"/>
        <v>0</v>
      </c>
      <c r="F196" s="173">
        <f t="shared" si="48"/>
        <v>0</v>
      </c>
      <c r="G196" s="169">
        <f t="shared" si="48"/>
        <v>0</v>
      </c>
      <c r="H196" s="173">
        <f t="shared" si="48"/>
        <v>0</v>
      </c>
      <c r="I196" s="173">
        <f t="shared" si="48"/>
        <v>0</v>
      </c>
      <c r="J196" s="173">
        <f t="shared" si="48"/>
        <v>205539</v>
      </c>
      <c r="K196" s="173">
        <f t="shared" si="48"/>
        <v>0</v>
      </c>
      <c r="L196" s="173">
        <f t="shared" si="48"/>
        <v>0</v>
      </c>
      <c r="M196" s="173">
        <f t="shared" si="48"/>
        <v>0</v>
      </c>
      <c r="N196" s="173">
        <f t="shared" si="48"/>
        <v>0</v>
      </c>
      <c r="O196" s="174">
        <f t="shared" si="46"/>
        <v>2582352</v>
      </c>
      <c r="P196" s="23"/>
    </row>
    <row r="197" spans="1:16" ht="15">
      <c r="A197" s="175" t="s">
        <v>260</v>
      </c>
      <c r="B197" s="176" t="s">
        <v>98</v>
      </c>
      <c r="C197" s="177">
        <v>696096</v>
      </c>
      <c r="D197" s="178"/>
      <c r="E197" s="178"/>
      <c r="F197" s="177"/>
      <c r="G197" s="178"/>
      <c r="H197" s="178"/>
      <c r="I197" s="178"/>
      <c r="J197" s="178"/>
      <c r="K197" s="178"/>
      <c r="L197" s="178"/>
      <c r="M197" s="178"/>
      <c r="N197" s="177"/>
      <c r="O197" s="174">
        <f t="shared" si="46"/>
        <v>696096</v>
      </c>
      <c r="P197" s="23"/>
    </row>
    <row r="198" spans="1:16" ht="15">
      <c r="A198" s="175" t="s">
        <v>261</v>
      </c>
      <c r="B198" s="176" t="s">
        <v>130</v>
      </c>
      <c r="C198" s="177">
        <v>320669</v>
      </c>
      <c r="D198" s="178"/>
      <c r="E198" s="178"/>
      <c r="F198" s="177"/>
      <c r="G198" s="178"/>
      <c r="H198" s="178"/>
      <c r="I198" s="178"/>
      <c r="J198" s="178"/>
      <c r="K198" s="178"/>
      <c r="L198" s="178"/>
      <c r="M198" s="178"/>
      <c r="N198" s="177"/>
      <c r="O198" s="174">
        <f t="shared" si="46"/>
        <v>320669</v>
      </c>
      <c r="P198" s="23"/>
    </row>
    <row r="199" spans="1:16" ht="15">
      <c r="A199" s="175" t="s">
        <v>262</v>
      </c>
      <c r="B199" s="176" t="s">
        <v>99</v>
      </c>
      <c r="C199" s="177">
        <v>861360</v>
      </c>
      <c r="D199" s="178"/>
      <c r="E199" s="178"/>
      <c r="F199" s="177"/>
      <c r="G199" s="178"/>
      <c r="H199" s="178"/>
      <c r="I199" s="178"/>
      <c r="J199" s="178"/>
      <c r="K199" s="178"/>
      <c r="L199" s="178"/>
      <c r="M199" s="178"/>
      <c r="N199" s="177"/>
      <c r="O199" s="174">
        <f t="shared" si="46"/>
        <v>861360</v>
      </c>
      <c r="P199" s="23"/>
    </row>
    <row r="200" spans="1:16" ht="15">
      <c r="A200" s="175" t="s">
        <v>263</v>
      </c>
      <c r="B200" s="176" t="s">
        <v>100</v>
      </c>
      <c r="C200" s="177">
        <v>498688</v>
      </c>
      <c r="D200" s="178"/>
      <c r="E200" s="178"/>
      <c r="F200" s="177"/>
      <c r="G200" s="178"/>
      <c r="H200" s="178"/>
      <c r="I200" s="178"/>
      <c r="J200" s="178"/>
      <c r="K200" s="178"/>
      <c r="L200" s="178"/>
      <c r="M200" s="178"/>
      <c r="N200" s="177"/>
      <c r="O200" s="174">
        <f t="shared" si="46"/>
        <v>498688</v>
      </c>
      <c r="P200" s="23"/>
    </row>
    <row r="201" spans="1:16" ht="15">
      <c r="A201" s="175" t="s">
        <v>264</v>
      </c>
      <c r="B201" s="176" t="s">
        <v>158</v>
      </c>
      <c r="C201" s="178"/>
      <c r="D201" s="178"/>
      <c r="E201" s="178"/>
      <c r="F201" s="177"/>
      <c r="G201" s="178"/>
      <c r="H201" s="178"/>
      <c r="I201" s="178"/>
      <c r="J201" s="178">
        <v>205539</v>
      </c>
      <c r="K201" s="178"/>
      <c r="L201" s="178"/>
      <c r="M201" s="178"/>
      <c r="N201" s="177"/>
      <c r="O201" s="174">
        <f aca="true" t="shared" si="49" ref="O201:O225">SUM(C201:N201)</f>
        <v>205539</v>
      </c>
      <c r="P201" s="23"/>
    </row>
    <row r="202" spans="1:16" ht="15">
      <c r="A202" s="198" t="s">
        <v>159</v>
      </c>
      <c r="B202" s="172" t="s">
        <v>160</v>
      </c>
      <c r="C202" s="178">
        <f aca="true" t="shared" si="50" ref="C202:N202">SUM(C203:C204)</f>
        <v>155000</v>
      </c>
      <c r="D202" s="178">
        <f t="shared" si="50"/>
        <v>0</v>
      </c>
      <c r="E202" s="178">
        <f t="shared" si="50"/>
        <v>0</v>
      </c>
      <c r="F202" s="178">
        <f t="shared" si="50"/>
        <v>0</v>
      </c>
      <c r="G202" s="178">
        <f t="shared" si="50"/>
        <v>93538</v>
      </c>
      <c r="H202" s="178">
        <f t="shared" si="50"/>
        <v>0</v>
      </c>
      <c r="I202" s="178">
        <f t="shared" si="50"/>
        <v>0</v>
      </c>
      <c r="J202" s="178">
        <f t="shared" si="50"/>
        <v>104041</v>
      </c>
      <c r="K202" s="178">
        <f t="shared" si="50"/>
        <v>0</v>
      </c>
      <c r="L202" s="178">
        <f t="shared" si="50"/>
        <v>0</v>
      </c>
      <c r="M202" s="178">
        <f t="shared" si="50"/>
        <v>0</v>
      </c>
      <c r="N202" s="178">
        <f t="shared" si="50"/>
        <v>0</v>
      </c>
      <c r="O202" s="174">
        <f t="shared" si="49"/>
        <v>352579</v>
      </c>
      <c r="P202" s="23"/>
    </row>
    <row r="203" spans="1:16" ht="15">
      <c r="A203" s="175" t="s">
        <v>360</v>
      </c>
      <c r="B203" s="176" t="s">
        <v>361</v>
      </c>
      <c r="C203" s="177">
        <v>50000</v>
      </c>
      <c r="D203" s="177"/>
      <c r="E203" s="177"/>
      <c r="F203" s="177"/>
      <c r="G203" s="178">
        <v>93538</v>
      </c>
      <c r="H203" s="178"/>
      <c r="I203" s="178"/>
      <c r="J203" s="177">
        <v>97944</v>
      </c>
      <c r="K203" s="177"/>
      <c r="L203" s="177"/>
      <c r="M203" s="177"/>
      <c r="N203" s="177"/>
      <c r="O203" s="174">
        <f t="shared" si="49"/>
        <v>241482</v>
      </c>
      <c r="P203" s="23"/>
    </row>
    <row r="204" spans="1:16" ht="15">
      <c r="A204" s="175" t="s">
        <v>362</v>
      </c>
      <c r="B204" s="176" t="s">
        <v>363</v>
      </c>
      <c r="C204" s="177">
        <v>105000</v>
      </c>
      <c r="D204" s="177"/>
      <c r="E204" s="177"/>
      <c r="F204" s="177"/>
      <c r="G204" s="178"/>
      <c r="H204" s="178"/>
      <c r="I204" s="178"/>
      <c r="J204" s="177">
        <v>6097</v>
      </c>
      <c r="K204" s="177"/>
      <c r="L204" s="177"/>
      <c r="M204" s="177"/>
      <c r="N204" s="177"/>
      <c r="O204" s="174">
        <f t="shared" si="49"/>
        <v>111097</v>
      </c>
      <c r="P204" s="23"/>
    </row>
    <row r="205" spans="1:16" ht="29.25">
      <c r="A205" s="171" t="s">
        <v>191</v>
      </c>
      <c r="B205" s="172" t="s">
        <v>274</v>
      </c>
      <c r="C205" s="173">
        <v>293138</v>
      </c>
      <c r="D205" s="173"/>
      <c r="E205" s="173"/>
      <c r="F205" s="173"/>
      <c r="G205" s="169"/>
      <c r="H205" s="169"/>
      <c r="I205" s="169"/>
      <c r="J205" s="173"/>
      <c r="K205" s="173"/>
      <c r="L205" s="173"/>
      <c r="M205" s="173"/>
      <c r="N205" s="173"/>
      <c r="O205" s="174">
        <f t="shared" si="49"/>
        <v>293138</v>
      </c>
      <c r="P205" s="23"/>
    </row>
    <row r="206" spans="1:16" ht="30.75" customHeight="1" thickBot="1">
      <c r="A206" s="256" t="s">
        <v>101</v>
      </c>
      <c r="B206" s="257" t="s">
        <v>265</v>
      </c>
      <c r="C206" s="258">
        <f aca="true" t="shared" si="51" ref="C206:N206">SUM(C207:C221)</f>
        <v>3052930</v>
      </c>
      <c r="D206" s="258">
        <f t="shared" si="51"/>
        <v>0</v>
      </c>
      <c r="E206" s="258">
        <f t="shared" si="51"/>
        <v>0</v>
      </c>
      <c r="F206" s="258">
        <f t="shared" si="51"/>
        <v>0</v>
      </c>
      <c r="G206" s="258">
        <f t="shared" si="51"/>
        <v>28147</v>
      </c>
      <c r="H206" s="258">
        <f t="shared" si="51"/>
        <v>0</v>
      </c>
      <c r="I206" s="258">
        <f t="shared" si="51"/>
        <v>21267</v>
      </c>
      <c r="J206" s="258">
        <f t="shared" si="51"/>
        <v>13584</v>
      </c>
      <c r="K206" s="258">
        <f t="shared" si="51"/>
        <v>33680</v>
      </c>
      <c r="L206" s="258">
        <f t="shared" si="51"/>
        <v>21960</v>
      </c>
      <c r="M206" s="258">
        <f t="shared" si="51"/>
        <v>14647</v>
      </c>
      <c r="N206" s="258">
        <f t="shared" si="51"/>
        <v>18811</v>
      </c>
      <c r="O206" s="259">
        <f>SUM(C206:N206)</f>
        <v>3205026</v>
      </c>
      <c r="P206" s="23"/>
    </row>
    <row r="207" spans="1:16" ht="30.75" customHeight="1">
      <c r="A207" s="202" t="s">
        <v>364</v>
      </c>
      <c r="B207" s="146" t="s">
        <v>365</v>
      </c>
      <c r="C207" s="196">
        <v>91066</v>
      </c>
      <c r="D207" s="201"/>
      <c r="E207" s="201"/>
      <c r="F207" s="201"/>
      <c r="G207" s="253"/>
      <c r="H207" s="253"/>
      <c r="I207" s="253"/>
      <c r="J207" s="201"/>
      <c r="K207" s="201"/>
      <c r="L207" s="201"/>
      <c r="M207" s="201"/>
      <c r="N207" s="260"/>
      <c r="O207" s="174">
        <f t="shared" si="49"/>
        <v>91066</v>
      </c>
      <c r="P207" s="23"/>
    </row>
    <row r="208" spans="1:16" ht="30.75" customHeight="1">
      <c r="A208" s="261" t="s">
        <v>402</v>
      </c>
      <c r="B208" s="211" t="s">
        <v>403</v>
      </c>
      <c r="C208" s="178">
        <v>199681</v>
      </c>
      <c r="D208" s="169"/>
      <c r="E208" s="169"/>
      <c r="F208" s="169"/>
      <c r="G208" s="169"/>
      <c r="H208" s="169"/>
      <c r="I208" s="169"/>
      <c r="J208" s="169">
        <v>34</v>
      </c>
      <c r="K208" s="169"/>
      <c r="L208" s="169"/>
      <c r="M208" s="169"/>
      <c r="N208" s="193"/>
      <c r="O208" s="174">
        <f t="shared" si="49"/>
        <v>199715</v>
      </c>
      <c r="P208" s="23"/>
    </row>
    <row r="209" spans="1:16" ht="15.75">
      <c r="A209" s="261" t="s">
        <v>404</v>
      </c>
      <c r="B209" s="262" t="s">
        <v>405</v>
      </c>
      <c r="C209" s="178">
        <v>55622</v>
      </c>
      <c r="D209" s="169"/>
      <c r="E209" s="169"/>
      <c r="F209" s="169"/>
      <c r="G209" s="169"/>
      <c r="H209" s="169"/>
      <c r="I209" s="169"/>
      <c r="J209" s="169"/>
      <c r="K209" s="169"/>
      <c r="L209" s="169"/>
      <c r="M209" s="169"/>
      <c r="N209" s="193"/>
      <c r="O209" s="174">
        <f t="shared" si="49"/>
        <v>55622</v>
      </c>
      <c r="P209" s="23"/>
    </row>
    <row r="210" spans="1:16" ht="30.75" customHeight="1">
      <c r="A210" s="261" t="s">
        <v>406</v>
      </c>
      <c r="B210" s="262" t="s">
        <v>407</v>
      </c>
      <c r="C210" s="178">
        <v>13041</v>
      </c>
      <c r="D210" s="169"/>
      <c r="E210" s="169"/>
      <c r="F210" s="169"/>
      <c r="G210" s="169"/>
      <c r="H210" s="169"/>
      <c r="I210" s="169"/>
      <c r="J210" s="169"/>
      <c r="K210" s="169"/>
      <c r="L210" s="169"/>
      <c r="M210" s="169"/>
      <c r="N210" s="193"/>
      <c r="O210" s="174">
        <f t="shared" si="49"/>
        <v>13041</v>
      </c>
      <c r="P210" s="23"/>
    </row>
    <row r="211" spans="1:16" ht="30.75" customHeight="1">
      <c r="A211" s="261" t="s">
        <v>408</v>
      </c>
      <c r="B211" s="263" t="s">
        <v>409</v>
      </c>
      <c r="C211" s="178">
        <v>11463</v>
      </c>
      <c r="D211" s="169"/>
      <c r="E211" s="169"/>
      <c r="F211" s="169"/>
      <c r="G211" s="169"/>
      <c r="H211" s="169"/>
      <c r="I211" s="169"/>
      <c r="J211" s="169"/>
      <c r="K211" s="169"/>
      <c r="L211" s="169"/>
      <c r="M211" s="169"/>
      <c r="N211" s="193"/>
      <c r="O211" s="174">
        <f t="shared" si="49"/>
        <v>11463</v>
      </c>
      <c r="P211" s="23"/>
    </row>
    <row r="212" spans="1:16" ht="30.75" customHeight="1">
      <c r="A212" s="261" t="s">
        <v>410</v>
      </c>
      <c r="B212" s="262" t="s">
        <v>411</v>
      </c>
      <c r="C212" s="196">
        <v>10462</v>
      </c>
      <c r="D212" s="201"/>
      <c r="E212" s="201"/>
      <c r="F212" s="201"/>
      <c r="G212" s="253"/>
      <c r="H212" s="253"/>
      <c r="I212" s="253"/>
      <c r="J212" s="201"/>
      <c r="K212" s="201"/>
      <c r="L212" s="201"/>
      <c r="M212" s="201"/>
      <c r="N212" s="201"/>
      <c r="O212" s="174">
        <f t="shared" si="49"/>
        <v>10462</v>
      </c>
      <c r="P212" s="23"/>
    </row>
    <row r="213" spans="1:16" ht="15">
      <c r="A213" s="202" t="s">
        <v>266</v>
      </c>
      <c r="B213" s="146" t="s">
        <v>321</v>
      </c>
      <c r="C213" s="177"/>
      <c r="D213" s="178"/>
      <c r="E213" s="178"/>
      <c r="F213" s="177"/>
      <c r="G213" s="178">
        <v>28147</v>
      </c>
      <c r="H213" s="178"/>
      <c r="I213" s="178">
        <v>21267</v>
      </c>
      <c r="J213" s="178"/>
      <c r="K213" s="178">
        <v>33680</v>
      </c>
      <c r="L213" s="178">
        <v>21960</v>
      </c>
      <c r="M213" s="178"/>
      <c r="N213" s="177"/>
      <c r="O213" s="174">
        <f t="shared" si="49"/>
        <v>105054</v>
      </c>
      <c r="P213" s="23"/>
    </row>
    <row r="214" spans="1:16" ht="15">
      <c r="A214" s="202" t="s">
        <v>267</v>
      </c>
      <c r="B214" s="264" t="s">
        <v>192</v>
      </c>
      <c r="C214" s="196"/>
      <c r="D214" s="178"/>
      <c r="E214" s="178"/>
      <c r="F214" s="177"/>
      <c r="G214" s="178"/>
      <c r="H214" s="178"/>
      <c r="I214" s="178"/>
      <c r="J214" s="178">
        <v>13550</v>
      </c>
      <c r="K214" s="178"/>
      <c r="L214" s="178"/>
      <c r="M214" s="178">
        <v>14647</v>
      </c>
      <c r="N214" s="217">
        <v>18811</v>
      </c>
      <c r="O214" s="174">
        <f t="shared" si="49"/>
        <v>47008</v>
      </c>
      <c r="P214" s="23"/>
    </row>
    <row r="215" spans="1:16" ht="47.25">
      <c r="A215" s="261" t="s">
        <v>412</v>
      </c>
      <c r="B215" s="265" t="s">
        <v>413</v>
      </c>
      <c r="C215" s="177">
        <v>13738</v>
      </c>
      <c r="D215" s="178"/>
      <c r="E215" s="178"/>
      <c r="F215" s="177"/>
      <c r="G215" s="178"/>
      <c r="H215" s="178"/>
      <c r="I215" s="178"/>
      <c r="J215" s="178"/>
      <c r="K215" s="178"/>
      <c r="L215" s="178"/>
      <c r="M215" s="178"/>
      <c r="N215" s="177"/>
      <c r="O215" s="174">
        <f t="shared" si="49"/>
        <v>13738</v>
      </c>
      <c r="P215" s="23"/>
    </row>
    <row r="216" spans="1:16" ht="47.25">
      <c r="A216" s="261" t="s">
        <v>414</v>
      </c>
      <c r="B216" s="262" t="s">
        <v>415</v>
      </c>
      <c r="C216" s="177">
        <v>8234</v>
      </c>
      <c r="D216" s="178"/>
      <c r="E216" s="178"/>
      <c r="F216" s="177"/>
      <c r="G216" s="178"/>
      <c r="H216" s="178"/>
      <c r="I216" s="178"/>
      <c r="J216" s="178"/>
      <c r="K216" s="178"/>
      <c r="L216" s="178"/>
      <c r="M216" s="178"/>
      <c r="N216" s="177"/>
      <c r="O216" s="174">
        <f t="shared" si="49"/>
        <v>8234</v>
      </c>
      <c r="P216" s="23"/>
    </row>
    <row r="217" spans="1:16" ht="60">
      <c r="A217" s="261" t="s">
        <v>416</v>
      </c>
      <c r="B217" s="211" t="s">
        <v>417</v>
      </c>
      <c r="C217" s="177">
        <v>6201</v>
      </c>
      <c r="D217" s="178"/>
      <c r="E217" s="178"/>
      <c r="F217" s="177"/>
      <c r="G217" s="178"/>
      <c r="H217" s="178"/>
      <c r="I217" s="178"/>
      <c r="J217" s="178"/>
      <c r="K217" s="178"/>
      <c r="L217" s="178"/>
      <c r="M217" s="178"/>
      <c r="N217" s="177"/>
      <c r="O217" s="174">
        <f t="shared" si="49"/>
        <v>6201</v>
      </c>
      <c r="P217" s="23"/>
    </row>
    <row r="218" spans="1:16" ht="30">
      <c r="A218" s="175" t="s">
        <v>314</v>
      </c>
      <c r="B218" s="211" t="s">
        <v>315</v>
      </c>
      <c r="C218" s="177">
        <v>2449147</v>
      </c>
      <c r="D218" s="178"/>
      <c r="E218" s="178"/>
      <c r="F218" s="177"/>
      <c r="G218" s="178"/>
      <c r="H218" s="178"/>
      <c r="I218" s="178"/>
      <c r="J218" s="178"/>
      <c r="K218" s="178"/>
      <c r="L218" s="178"/>
      <c r="M218" s="178"/>
      <c r="N218" s="177"/>
      <c r="O218" s="174">
        <f t="shared" si="49"/>
        <v>2449147</v>
      </c>
      <c r="P218" s="23"/>
    </row>
    <row r="219" spans="1:16" ht="30">
      <c r="A219" s="266" t="s">
        <v>366</v>
      </c>
      <c r="B219" s="267" t="s">
        <v>367</v>
      </c>
      <c r="C219" s="177">
        <v>175955</v>
      </c>
      <c r="D219" s="177"/>
      <c r="E219" s="177"/>
      <c r="F219" s="177"/>
      <c r="G219" s="178"/>
      <c r="H219" s="183"/>
      <c r="I219" s="183"/>
      <c r="J219" s="183"/>
      <c r="K219" s="183"/>
      <c r="L219" s="183"/>
      <c r="M219" s="183"/>
      <c r="N219" s="182"/>
      <c r="O219" s="174">
        <f t="shared" si="49"/>
        <v>175955</v>
      </c>
      <c r="P219" s="23"/>
    </row>
    <row r="220" spans="1:16" ht="45" customHeight="1">
      <c r="A220" s="268" t="s">
        <v>418</v>
      </c>
      <c r="B220" s="211" t="s">
        <v>419</v>
      </c>
      <c r="C220" s="178">
        <v>8070</v>
      </c>
      <c r="D220" s="178"/>
      <c r="E220" s="178"/>
      <c r="F220" s="178"/>
      <c r="G220" s="178"/>
      <c r="H220" s="178"/>
      <c r="I220" s="178"/>
      <c r="J220" s="178"/>
      <c r="K220" s="178"/>
      <c r="L220" s="178"/>
      <c r="M220" s="178"/>
      <c r="N220" s="177"/>
      <c r="O220" s="174">
        <f t="shared" si="49"/>
        <v>8070</v>
      </c>
      <c r="P220" s="23"/>
    </row>
    <row r="221" spans="1:16" ht="45" customHeight="1" thickBot="1">
      <c r="A221" s="268" t="s">
        <v>420</v>
      </c>
      <c r="B221" s="269" t="s">
        <v>421</v>
      </c>
      <c r="C221" s="196">
        <v>10250</v>
      </c>
      <c r="D221" s="196"/>
      <c r="E221" s="196"/>
      <c r="F221" s="196"/>
      <c r="G221" s="197"/>
      <c r="H221" s="196"/>
      <c r="I221" s="196"/>
      <c r="J221" s="196"/>
      <c r="K221" s="196"/>
      <c r="L221" s="196"/>
      <c r="M221" s="196"/>
      <c r="N221" s="196"/>
      <c r="O221" s="174">
        <f t="shared" si="49"/>
        <v>10250</v>
      </c>
      <c r="P221" s="23"/>
    </row>
    <row r="222" spans="1:16" ht="15.75" thickBot="1">
      <c r="A222" s="190" t="s">
        <v>6</v>
      </c>
      <c r="B222" s="155" t="s">
        <v>102</v>
      </c>
      <c r="C222" s="156">
        <f>SUM(C223+C224+C225+C226)</f>
        <v>2921905</v>
      </c>
      <c r="D222" s="156">
        <f aca="true" t="shared" si="52" ref="D222:M222">SUM(D223+D224+D225+D226)</f>
        <v>56470</v>
      </c>
      <c r="E222" s="156">
        <f t="shared" si="52"/>
        <v>0</v>
      </c>
      <c r="F222" s="156">
        <f t="shared" si="52"/>
        <v>0</v>
      </c>
      <c r="G222" s="255">
        <f t="shared" si="52"/>
        <v>59214</v>
      </c>
      <c r="H222" s="156">
        <f t="shared" si="52"/>
        <v>20101</v>
      </c>
      <c r="I222" s="156">
        <f t="shared" si="52"/>
        <v>27566</v>
      </c>
      <c r="J222" s="156">
        <f t="shared" si="52"/>
        <v>683663</v>
      </c>
      <c r="K222" s="156">
        <f t="shared" si="52"/>
        <v>32129</v>
      </c>
      <c r="L222" s="156">
        <f t="shared" si="52"/>
        <v>14966</v>
      </c>
      <c r="M222" s="156">
        <f t="shared" si="52"/>
        <v>18250</v>
      </c>
      <c r="N222" s="156">
        <f>SUM(N223+N224+N225+N226)</f>
        <v>32400</v>
      </c>
      <c r="O222" s="157">
        <f t="shared" si="49"/>
        <v>3866664</v>
      </c>
      <c r="P222" s="23"/>
    </row>
    <row r="223" spans="1:16" ht="16.5" customHeight="1">
      <c r="A223" s="171" t="s">
        <v>193</v>
      </c>
      <c r="B223" s="270" t="s">
        <v>194</v>
      </c>
      <c r="C223" s="271">
        <v>171677</v>
      </c>
      <c r="D223" s="163"/>
      <c r="E223" s="163"/>
      <c r="F223" s="271"/>
      <c r="G223" s="163">
        <v>850</v>
      </c>
      <c r="H223" s="163"/>
      <c r="I223" s="163"/>
      <c r="J223" s="163"/>
      <c r="K223" s="163"/>
      <c r="L223" s="163"/>
      <c r="M223" s="163"/>
      <c r="N223" s="260"/>
      <c r="O223" s="166">
        <f t="shared" si="49"/>
        <v>172527</v>
      </c>
      <c r="P223" s="23"/>
    </row>
    <row r="224" spans="1:16" ht="15">
      <c r="A224" s="158" t="s">
        <v>161</v>
      </c>
      <c r="B224" s="159" t="s">
        <v>162</v>
      </c>
      <c r="C224" s="160">
        <v>5956</v>
      </c>
      <c r="D224" s="160"/>
      <c r="E224" s="160"/>
      <c r="F224" s="160"/>
      <c r="G224" s="168"/>
      <c r="H224" s="168"/>
      <c r="I224" s="168"/>
      <c r="J224" s="168"/>
      <c r="K224" s="169">
        <v>2400</v>
      </c>
      <c r="L224" s="272">
        <v>2400</v>
      </c>
      <c r="M224" s="160">
        <v>2400</v>
      </c>
      <c r="N224" s="160"/>
      <c r="O224" s="231">
        <f t="shared" si="49"/>
        <v>13156</v>
      </c>
      <c r="P224" s="23"/>
    </row>
    <row r="225" spans="1:16" ht="15">
      <c r="A225" s="158" t="s">
        <v>103</v>
      </c>
      <c r="B225" s="159" t="s">
        <v>104</v>
      </c>
      <c r="C225" s="160"/>
      <c r="D225" s="161"/>
      <c r="E225" s="161"/>
      <c r="F225" s="167"/>
      <c r="G225" s="161"/>
      <c r="H225" s="161"/>
      <c r="I225" s="161"/>
      <c r="J225" s="161"/>
      <c r="K225" s="161"/>
      <c r="L225" s="161"/>
      <c r="M225" s="161"/>
      <c r="N225" s="167"/>
      <c r="O225" s="174">
        <f t="shared" si="49"/>
        <v>0</v>
      </c>
      <c r="P225" s="23"/>
    </row>
    <row r="226" spans="1:16" ht="29.25">
      <c r="A226" s="171" t="s">
        <v>105</v>
      </c>
      <c r="B226" s="172" t="s">
        <v>106</v>
      </c>
      <c r="C226" s="173">
        <f aca="true" t="shared" si="53" ref="C226:N226">SUM(C227:C237)</f>
        <v>2744272</v>
      </c>
      <c r="D226" s="173">
        <f t="shared" si="53"/>
        <v>56470</v>
      </c>
      <c r="E226" s="173">
        <f t="shared" si="53"/>
        <v>0</v>
      </c>
      <c r="F226" s="173">
        <f t="shared" si="53"/>
        <v>0</v>
      </c>
      <c r="G226" s="169">
        <f t="shared" si="53"/>
        <v>58364</v>
      </c>
      <c r="H226" s="173">
        <f t="shared" si="53"/>
        <v>20101</v>
      </c>
      <c r="I226" s="173">
        <f t="shared" si="53"/>
        <v>27566</v>
      </c>
      <c r="J226" s="173">
        <f t="shared" si="53"/>
        <v>683663</v>
      </c>
      <c r="K226" s="173">
        <f t="shared" si="53"/>
        <v>29729</v>
      </c>
      <c r="L226" s="173">
        <f t="shared" si="53"/>
        <v>12566</v>
      </c>
      <c r="M226" s="173">
        <f t="shared" si="53"/>
        <v>15850</v>
      </c>
      <c r="N226" s="173">
        <f t="shared" si="53"/>
        <v>32400</v>
      </c>
      <c r="O226" s="174">
        <f>SUM(C226:N226)</f>
        <v>3680981</v>
      </c>
      <c r="P226" s="23"/>
    </row>
    <row r="227" spans="1:16" ht="15">
      <c r="A227" s="175" t="s">
        <v>268</v>
      </c>
      <c r="B227" s="176" t="s">
        <v>107</v>
      </c>
      <c r="C227" s="177">
        <v>969100</v>
      </c>
      <c r="D227" s="178">
        <v>56470</v>
      </c>
      <c r="E227" s="178"/>
      <c r="F227" s="177"/>
      <c r="G227" s="178">
        <v>500</v>
      </c>
      <c r="H227" s="178"/>
      <c r="I227" s="178">
        <v>400</v>
      </c>
      <c r="J227" s="178">
        <v>2183</v>
      </c>
      <c r="K227" s="178">
        <v>300</v>
      </c>
      <c r="L227" s="178">
        <v>670</v>
      </c>
      <c r="M227" s="178">
        <v>3350</v>
      </c>
      <c r="N227" s="217">
        <v>700</v>
      </c>
      <c r="O227" s="174">
        <f aca="true" t="shared" si="54" ref="O227:O243">SUM(C227:N227)</f>
        <v>1033673</v>
      </c>
      <c r="P227" s="23"/>
    </row>
    <row r="228" spans="1:16" ht="15">
      <c r="A228" s="175" t="s">
        <v>269</v>
      </c>
      <c r="B228" s="176" t="s">
        <v>116</v>
      </c>
      <c r="C228" s="177">
        <v>1026155</v>
      </c>
      <c r="D228" s="178"/>
      <c r="E228" s="178"/>
      <c r="F228" s="177"/>
      <c r="G228" s="178">
        <v>57864</v>
      </c>
      <c r="H228" s="178">
        <v>20101</v>
      </c>
      <c r="I228" s="178">
        <v>26616</v>
      </c>
      <c r="J228" s="178">
        <f>75507-15860</f>
        <v>59647</v>
      </c>
      <c r="K228" s="178">
        <v>29429</v>
      </c>
      <c r="L228" s="178">
        <v>11896</v>
      </c>
      <c r="M228" s="178">
        <v>12500</v>
      </c>
      <c r="N228" s="217">
        <v>31700</v>
      </c>
      <c r="O228" s="174">
        <f t="shared" si="54"/>
        <v>1275908</v>
      </c>
      <c r="P228" s="23"/>
    </row>
    <row r="229" spans="1:16" ht="15">
      <c r="A229" s="175" t="s">
        <v>368</v>
      </c>
      <c r="B229" s="176" t="s">
        <v>369</v>
      </c>
      <c r="C229" s="177">
        <v>251348</v>
      </c>
      <c r="D229" s="178"/>
      <c r="E229" s="178"/>
      <c r="F229" s="177"/>
      <c r="G229" s="178"/>
      <c r="H229" s="178"/>
      <c r="I229" s="178"/>
      <c r="J229" s="178"/>
      <c r="K229" s="178"/>
      <c r="L229" s="178"/>
      <c r="M229" s="178"/>
      <c r="N229" s="177"/>
      <c r="O229" s="174">
        <f t="shared" si="54"/>
        <v>251348</v>
      </c>
      <c r="P229" s="23"/>
    </row>
    <row r="230" spans="1:16" ht="15">
      <c r="A230" s="175" t="s">
        <v>270</v>
      </c>
      <c r="B230" s="176" t="s">
        <v>164</v>
      </c>
      <c r="C230" s="177"/>
      <c r="D230" s="178"/>
      <c r="E230" s="178"/>
      <c r="F230" s="177"/>
      <c r="G230" s="178"/>
      <c r="H230" s="178"/>
      <c r="I230" s="178"/>
      <c r="J230" s="178">
        <v>618100</v>
      </c>
      <c r="K230" s="178"/>
      <c r="L230" s="178"/>
      <c r="M230" s="178"/>
      <c r="N230" s="177"/>
      <c r="O230" s="174">
        <f t="shared" si="54"/>
        <v>618100</v>
      </c>
      <c r="P230" s="23"/>
    </row>
    <row r="231" spans="1:16" ht="30">
      <c r="A231" s="175" t="s">
        <v>271</v>
      </c>
      <c r="B231" s="146" t="s">
        <v>370</v>
      </c>
      <c r="C231" s="178">
        <v>15071</v>
      </c>
      <c r="D231" s="178"/>
      <c r="E231" s="178"/>
      <c r="F231" s="177"/>
      <c r="G231" s="178"/>
      <c r="H231" s="178"/>
      <c r="I231" s="178"/>
      <c r="J231" s="178"/>
      <c r="K231" s="178"/>
      <c r="L231" s="178"/>
      <c r="M231" s="178"/>
      <c r="N231" s="177"/>
      <c r="O231" s="174">
        <f t="shared" si="54"/>
        <v>15071</v>
      </c>
      <c r="P231" s="23"/>
    </row>
    <row r="232" spans="1:16" ht="30">
      <c r="A232" s="218" t="s">
        <v>448</v>
      </c>
      <c r="B232" s="246" t="s">
        <v>449</v>
      </c>
      <c r="C232" s="177">
        <v>555</v>
      </c>
      <c r="D232" s="178"/>
      <c r="E232" s="178"/>
      <c r="F232" s="177"/>
      <c r="G232" s="178"/>
      <c r="H232" s="178"/>
      <c r="I232" s="178"/>
      <c r="J232" s="177"/>
      <c r="K232" s="177"/>
      <c r="L232" s="177"/>
      <c r="M232" s="177"/>
      <c r="N232" s="177"/>
      <c r="O232" s="174">
        <f t="shared" si="54"/>
        <v>555</v>
      </c>
      <c r="P232" s="23"/>
    </row>
    <row r="233" spans="1:16" ht="31.5">
      <c r="A233" s="218" t="s">
        <v>450</v>
      </c>
      <c r="B233" s="273" t="s">
        <v>451</v>
      </c>
      <c r="C233" s="177">
        <v>15000</v>
      </c>
      <c r="D233" s="178"/>
      <c r="E233" s="178"/>
      <c r="F233" s="177"/>
      <c r="G233" s="178"/>
      <c r="H233" s="178"/>
      <c r="I233" s="178"/>
      <c r="J233" s="177"/>
      <c r="K233" s="177"/>
      <c r="L233" s="177"/>
      <c r="M233" s="177"/>
      <c r="N233" s="177"/>
      <c r="O233" s="174">
        <f t="shared" si="54"/>
        <v>15000</v>
      </c>
      <c r="P233" s="23"/>
    </row>
    <row r="234" spans="1:16" ht="15">
      <c r="A234" s="175" t="s">
        <v>272</v>
      </c>
      <c r="B234" s="176" t="s">
        <v>163</v>
      </c>
      <c r="C234" s="177">
        <v>44579</v>
      </c>
      <c r="D234" s="178"/>
      <c r="E234" s="178"/>
      <c r="F234" s="177"/>
      <c r="G234" s="178"/>
      <c r="H234" s="178"/>
      <c r="I234" s="178">
        <v>550</v>
      </c>
      <c r="J234" s="177">
        <v>3733</v>
      </c>
      <c r="K234" s="177"/>
      <c r="L234" s="177"/>
      <c r="M234" s="177"/>
      <c r="N234" s="177"/>
      <c r="O234" s="174">
        <f t="shared" si="54"/>
        <v>48862</v>
      </c>
      <c r="P234" s="23"/>
    </row>
    <row r="235" spans="1:16" ht="30">
      <c r="A235" s="218" t="s">
        <v>452</v>
      </c>
      <c r="B235" s="274" t="s">
        <v>453</v>
      </c>
      <c r="C235" s="177">
        <v>113644</v>
      </c>
      <c r="D235" s="178"/>
      <c r="E235" s="178"/>
      <c r="F235" s="177"/>
      <c r="G235" s="178"/>
      <c r="H235" s="178"/>
      <c r="I235" s="178"/>
      <c r="J235" s="177"/>
      <c r="K235" s="177"/>
      <c r="L235" s="177"/>
      <c r="M235" s="177"/>
      <c r="N235" s="177"/>
      <c r="O235" s="174">
        <f t="shared" si="54"/>
        <v>113644</v>
      </c>
      <c r="P235" s="23"/>
    </row>
    <row r="236" spans="1:16" ht="45">
      <c r="A236" s="175" t="s">
        <v>316</v>
      </c>
      <c r="B236" s="211" t="s">
        <v>317</v>
      </c>
      <c r="C236" s="177">
        <v>40000</v>
      </c>
      <c r="D236" s="178"/>
      <c r="E236" s="178"/>
      <c r="F236" s="177"/>
      <c r="G236" s="178"/>
      <c r="H236" s="178"/>
      <c r="I236" s="178"/>
      <c r="J236" s="177"/>
      <c r="K236" s="177"/>
      <c r="L236" s="177"/>
      <c r="M236" s="177"/>
      <c r="N236" s="177"/>
      <c r="O236" s="174">
        <f t="shared" si="54"/>
        <v>40000</v>
      </c>
      <c r="P236" s="23"/>
    </row>
    <row r="237" spans="1:16" ht="30.75" thickBot="1">
      <c r="A237" s="206" t="s">
        <v>456</v>
      </c>
      <c r="B237" s="274" t="s">
        <v>457</v>
      </c>
      <c r="C237" s="178">
        <v>268820</v>
      </c>
      <c r="D237" s="178"/>
      <c r="E237" s="178"/>
      <c r="F237" s="178"/>
      <c r="G237" s="178"/>
      <c r="H237" s="178"/>
      <c r="I237" s="178"/>
      <c r="J237" s="178"/>
      <c r="K237" s="178"/>
      <c r="L237" s="178"/>
      <c r="M237" s="178"/>
      <c r="N237" s="236"/>
      <c r="O237" s="174">
        <f t="shared" si="54"/>
        <v>268820</v>
      </c>
      <c r="P237" s="23"/>
    </row>
    <row r="238" spans="1:16" ht="15.75" thickBot="1">
      <c r="A238" s="275"/>
      <c r="B238" s="155" t="s">
        <v>14</v>
      </c>
      <c r="C238" s="156">
        <f aca="true" t="shared" si="55" ref="C238:N238">C61+C71+C77+C104+C116+C141+C146+C174+C222</f>
        <v>50045360</v>
      </c>
      <c r="D238" s="156">
        <f t="shared" si="55"/>
        <v>3256069</v>
      </c>
      <c r="E238" s="156">
        <f t="shared" si="55"/>
        <v>1594684</v>
      </c>
      <c r="F238" s="255">
        <f t="shared" si="55"/>
        <v>368971</v>
      </c>
      <c r="G238" s="255">
        <f t="shared" si="55"/>
        <v>2057892</v>
      </c>
      <c r="H238" s="255">
        <f t="shared" si="55"/>
        <v>456315</v>
      </c>
      <c r="I238" s="255">
        <f t="shared" si="55"/>
        <v>1002773</v>
      </c>
      <c r="J238" s="156">
        <f t="shared" si="55"/>
        <v>2904483</v>
      </c>
      <c r="K238" s="156">
        <f t="shared" si="55"/>
        <v>329265</v>
      </c>
      <c r="L238" s="156">
        <f t="shared" si="55"/>
        <v>335933</v>
      </c>
      <c r="M238" s="156">
        <f t="shared" si="55"/>
        <v>351668</v>
      </c>
      <c r="N238" s="156">
        <f t="shared" si="55"/>
        <v>949268</v>
      </c>
      <c r="O238" s="157">
        <f t="shared" si="54"/>
        <v>63652681</v>
      </c>
      <c r="P238" s="23"/>
    </row>
    <row r="239" spans="1:15" ht="15">
      <c r="A239" s="20" t="s">
        <v>165</v>
      </c>
      <c r="B239" s="22" t="s">
        <v>318</v>
      </c>
      <c r="C239" s="27">
        <v>2580407</v>
      </c>
      <c r="D239" s="27"/>
      <c r="E239" s="27"/>
      <c r="F239" s="28">
        <v>7444</v>
      </c>
      <c r="G239" s="28">
        <v>5080</v>
      </c>
      <c r="H239" s="27">
        <v>8645</v>
      </c>
      <c r="I239" s="27">
        <v>13356</v>
      </c>
      <c r="J239" s="27">
        <v>40004</v>
      </c>
      <c r="K239" s="27"/>
      <c r="L239" s="27">
        <v>5692</v>
      </c>
      <c r="M239" s="27">
        <v>8241</v>
      </c>
      <c r="N239" s="27">
        <v>20061</v>
      </c>
      <c r="O239" s="28">
        <f t="shared" si="54"/>
        <v>2688930</v>
      </c>
    </row>
    <row r="240" spans="1:15" ht="15">
      <c r="A240" s="20" t="s">
        <v>295</v>
      </c>
      <c r="B240" s="22" t="s">
        <v>296</v>
      </c>
      <c r="C240" s="27"/>
      <c r="D240" s="27"/>
      <c r="E240" s="27"/>
      <c r="F240" s="28"/>
      <c r="G240" s="27"/>
      <c r="H240" s="27"/>
      <c r="I240" s="27"/>
      <c r="J240" s="27"/>
      <c r="K240" s="27"/>
      <c r="L240" s="27"/>
      <c r="M240" s="27"/>
      <c r="N240" s="27"/>
      <c r="O240" s="28">
        <f t="shared" si="54"/>
        <v>0</v>
      </c>
    </row>
    <row r="241" spans="1:15" ht="15">
      <c r="A241" s="29"/>
      <c r="B241" s="29"/>
      <c r="C241" s="29"/>
      <c r="D241" s="29"/>
      <c r="E241" s="29"/>
      <c r="F241" s="30"/>
      <c r="G241" s="29"/>
      <c r="H241" s="29"/>
      <c r="I241" s="29"/>
      <c r="J241" s="29"/>
      <c r="K241" s="29"/>
      <c r="L241" s="29"/>
      <c r="M241" s="29"/>
      <c r="N241" s="29"/>
      <c r="O241" s="28">
        <f t="shared" si="54"/>
        <v>0</v>
      </c>
    </row>
    <row r="242" spans="1:15" ht="30">
      <c r="A242" s="56" t="s">
        <v>299</v>
      </c>
      <c r="B242" s="57" t="s">
        <v>319</v>
      </c>
      <c r="C242" s="29">
        <v>880000</v>
      </c>
      <c r="D242" s="29">
        <v>1863344</v>
      </c>
      <c r="E242" s="29"/>
      <c r="F242" s="30">
        <v>59378</v>
      </c>
      <c r="G242" s="29">
        <v>53103</v>
      </c>
      <c r="H242" s="29">
        <v>15794</v>
      </c>
      <c r="I242" s="29"/>
      <c r="J242" s="29">
        <v>38672</v>
      </c>
      <c r="K242" s="29"/>
      <c r="L242" s="29"/>
      <c r="M242" s="29">
        <v>11099</v>
      </c>
      <c r="N242" s="29">
        <v>33618</v>
      </c>
      <c r="O242" s="28">
        <f t="shared" si="54"/>
        <v>2955008</v>
      </c>
    </row>
    <row r="243" spans="1:15" ht="30">
      <c r="A243" s="58" t="s">
        <v>275</v>
      </c>
      <c r="B243" s="59" t="s">
        <v>203</v>
      </c>
      <c r="C243" s="28">
        <f aca="true" t="shared" si="56" ref="C243:N243">C49-C238-C239-C240-C242</f>
        <v>8077227</v>
      </c>
      <c r="D243" s="28">
        <f t="shared" si="56"/>
        <v>-862905</v>
      </c>
      <c r="E243" s="28">
        <f t="shared" si="56"/>
        <v>-1182215</v>
      </c>
      <c r="F243" s="28">
        <f t="shared" si="56"/>
        <v>-92742</v>
      </c>
      <c r="G243" s="28">
        <f t="shared" si="56"/>
        <v>-1657072</v>
      </c>
      <c r="H243" s="28">
        <f t="shared" si="56"/>
        <v>-280087</v>
      </c>
      <c r="I243" s="28">
        <f t="shared" si="56"/>
        <v>-686448</v>
      </c>
      <c r="J243" s="28">
        <f t="shared" si="56"/>
        <v>-1770802</v>
      </c>
      <c r="K243" s="28">
        <f t="shared" si="56"/>
        <v>-179397</v>
      </c>
      <c r="L243" s="28">
        <f t="shared" si="56"/>
        <v>-253524</v>
      </c>
      <c r="M243" s="28">
        <f t="shared" si="56"/>
        <v>-272319</v>
      </c>
      <c r="N243" s="28">
        <f t="shared" si="56"/>
        <v>-839716</v>
      </c>
      <c r="O243" s="28">
        <f t="shared" si="54"/>
        <v>0</v>
      </c>
    </row>
    <row r="244" spans="1:15" ht="15">
      <c r="A244" s="29"/>
      <c r="B244" s="60"/>
      <c r="C244" s="28"/>
      <c r="D244" s="28"/>
      <c r="E244" s="28"/>
      <c r="F244" s="28"/>
      <c r="G244" s="28"/>
      <c r="H244" s="31"/>
      <c r="I244" s="28"/>
      <c r="J244" s="31"/>
      <c r="K244" s="28"/>
      <c r="L244" s="28"/>
      <c r="M244" s="28"/>
      <c r="N244" s="28"/>
      <c r="O244" s="28"/>
    </row>
    <row r="245" spans="1:15" ht="15">
      <c r="A245" s="29"/>
      <c r="B245" s="2" t="s">
        <v>297</v>
      </c>
      <c r="C245" s="29"/>
      <c r="D245" s="29" t="s">
        <v>15</v>
      </c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32">
        <f>O243-O33</f>
        <v>0</v>
      </c>
    </row>
    <row r="246" spans="1:16" ht="15">
      <c r="A246" s="30"/>
      <c r="B246" s="22"/>
      <c r="C246" s="28"/>
      <c r="D246" s="28"/>
      <c r="E246" s="28"/>
      <c r="F246" s="28"/>
      <c r="G246" s="33"/>
      <c r="H246" s="30"/>
      <c r="I246" s="29"/>
      <c r="J246" s="30"/>
      <c r="K246" s="30"/>
      <c r="L246" s="30"/>
      <c r="M246" s="29"/>
      <c r="N246" s="30"/>
      <c r="O246" s="30"/>
      <c r="P246" s="8"/>
    </row>
    <row r="247" spans="1:15" ht="15">
      <c r="A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7"/>
    </row>
    <row r="248" spans="1:15" ht="44.25" customHeight="1" thickBot="1">
      <c r="A248" s="278" t="s">
        <v>391</v>
      </c>
      <c r="B248" s="278"/>
      <c r="C248" s="278"/>
      <c r="D248" s="278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7"/>
    </row>
    <row r="249" spans="1:15" ht="90.75" thickBot="1">
      <c r="A249" s="48" t="s">
        <v>0</v>
      </c>
      <c r="B249" s="49" t="s">
        <v>142</v>
      </c>
      <c r="C249" s="35" t="s">
        <v>376</v>
      </c>
      <c r="D249" s="50" t="s">
        <v>375</v>
      </c>
      <c r="E249" s="35" t="s">
        <v>377</v>
      </c>
      <c r="F249" s="35" t="s">
        <v>378</v>
      </c>
      <c r="G249" s="51" t="s">
        <v>379</v>
      </c>
      <c r="H249" s="51" t="s">
        <v>380</v>
      </c>
      <c r="I249" s="51" t="s">
        <v>381</v>
      </c>
      <c r="J249" s="51" t="s">
        <v>382</v>
      </c>
      <c r="K249" s="51" t="s">
        <v>383</v>
      </c>
      <c r="L249" s="51" t="s">
        <v>384</v>
      </c>
      <c r="M249" s="51" t="s">
        <v>385</v>
      </c>
      <c r="N249" s="52" t="s">
        <v>386</v>
      </c>
      <c r="O249" s="53" t="s">
        <v>387</v>
      </c>
    </row>
    <row r="250" spans="1:15" ht="15">
      <c r="A250" s="61">
        <v>1100</v>
      </c>
      <c r="B250" s="40" t="s">
        <v>199</v>
      </c>
      <c r="C250" s="62">
        <v>11875045</v>
      </c>
      <c r="D250" s="62">
        <v>963311</v>
      </c>
      <c r="E250" s="62">
        <v>736988</v>
      </c>
      <c r="F250" s="62">
        <v>71516</v>
      </c>
      <c r="G250" s="63">
        <f>1050706+1350</f>
        <v>1052056</v>
      </c>
      <c r="H250" s="62">
        <v>148155</v>
      </c>
      <c r="I250" s="62">
        <v>385695</v>
      </c>
      <c r="J250" s="62">
        <f>1364230+675</f>
        <v>1364905</v>
      </c>
      <c r="K250" s="62">
        <v>93645</v>
      </c>
      <c r="L250" s="62">
        <v>144068</v>
      </c>
      <c r="M250" s="62">
        <v>138688</v>
      </c>
      <c r="N250" s="64">
        <v>551939</v>
      </c>
      <c r="O250" s="24">
        <f aca="true" t="shared" si="57" ref="O250:O266">SUM(C250:N250)</f>
        <v>17526011</v>
      </c>
    </row>
    <row r="251" spans="1:15" ht="45">
      <c r="A251" s="41">
        <v>1200</v>
      </c>
      <c r="B251" s="37" t="s">
        <v>201</v>
      </c>
      <c r="C251" s="15">
        <v>3532020</v>
      </c>
      <c r="D251" s="15">
        <v>232064</v>
      </c>
      <c r="E251" s="15">
        <v>204207</v>
      </c>
      <c r="F251" s="15">
        <v>21544</v>
      </c>
      <c r="G251" s="65">
        <f>317937+325</f>
        <v>318262</v>
      </c>
      <c r="H251" s="15">
        <v>44040</v>
      </c>
      <c r="I251" s="15">
        <v>118050</v>
      </c>
      <c r="J251" s="15">
        <f>425611+163</f>
        <v>425774</v>
      </c>
      <c r="K251" s="15">
        <v>28558</v>
      </c>
      <c r="L251" s="15">
        <v>41792</v>
      </c>
      <c r="M251" s="15">
        <v>40203</v>
      </c>
      <c r="N251" s="38">
        <v>167042</v>
      </c>
      <c r="O251" s="25">
        <f>SUM(C251:N251)</f>
        <v>5173556</v>
      </c>
    </row>
    <row r="252" spans="1:15" ht="15">
      <c r="A252" s="41">
        <v>2000</v>
      </c>
      <c r="B252" s="37" t="s">
        <v>132</v>
      </c>
      <c r="C252" s="15">
        <f aca="true" t="shared" si="58" ref="C252:N252">SUM(C253:C257)</f>
        <v>7656191</v>
      </c>
      <c r="D252" s="15">
        <f t="shared" si="58"/>
        <v>1516224</v>
      </c>
      <c r="E252" s="15">
        <f t="shared" si="58"/>
        <v>538733</v>
      </c>
      <c r="F252" s="15">
        <f t="shared" si="58"/>
        <v>243403</v>
      </c>
      <c r="G252" s="16">
        <f t="shared" si="58"/>
        <v>579914</v>
      </c>
      <c r="H252" s="15">
        <f t="shared" si="58"/>
        <v>238169</v>
      </c>
      <c r="I252" s="15">
        <f t="shared" si="58"/>
        <v>407246</v>
      </c>
      <c r="J252" s="15">
        <f t="shared" si="58"/>
        <v>834311</v>
      </c>
      <c r="K252" s="15">
        <f t="shared" si="58"/>
        <v>168814</v>
      </c>
      <c r="L252" s="15">
        <f t="shared" si="58"/>
        <v>113691</v>
      </c>
      <c r="M252" s="15">
        <f t="shared" si="58"/>
        <v>139379</v>
      </c>
      <c r="N252" s="38">
        <f t="shared" si="58"/>
        <v>184587</v>
      </c>
      <c r="O252" s="25">
        <f>SUM(C252:N252)</f>
        <v>12620662</v>
      </c>
    </row>
    <row r="253" spans="1:15" ht="30">
      <c r="A253" s="41">
        <v>2100</v>
      </c>
      <c r="B253" s="37" t="s">
        <v>200</v>
      </c>
      <c r="C253" s="15">
        <v>83406</v>
      </c>
      <c r="D253" s="15">
        <v>2500</v>
      </c>
      <c r="E253" s="15"/>
      <c r="F253" s="15"/>
      <c r="G253" s="65">
        <v>600</v>
      </c>
      <c r="H253" s="15">
        <v>50</v>
      </c>
      <c r="I253" s="15">
        <v>270</v>
      </c>
      <c r="J253" s="15">
        <v>746</v>
      </c>
      <c r="K253" s="15"/>
      <c r="L253" s="15">
        <v>145</v>
      </c>
      <c r="M253" s="54">
        <v>600</v>
      </c>
      <c r="N253" s="38">
        <v>166</v>
      </c>
      <c r="O253" s="25">
        <f t="shared" si="57"/>
        <v>88483</v>
      </c>
    </row>
    <row r="254" spans="1:15" ht="15">
      <c r="A254" s="41">
        <v>2200</v>
      </c>
      <c r="B254" s="37" t="s">
        <v>133</v>
      </c>
      <c r="C254" s="15">
        <v>6163082</v>
      </c>
      <c r="D254" s="15">
        <v>1042339</v>
      </c>
      <c r="E254" s="15">
        <v>403828</v>
      </c>
      <c r="F254" s="15">
        <v>224119</v>
      </c>
      <c r="G254" s="65">
        <f>302651+16254</f>
        <v>318905</v>
      </c>
      <c r="H254" s="54">
        <v>183771</v>
      </c>
      <c r="I254" s="15">
        <v>306935</v>
      </c>
      <c r="J254" s="54">
        <f>493367+4128</f>
        <v>497495</v>
      </c>
      <c r="K254" s="15">
        <v>135978</v>
      </c>
      <c r="L254" s="15">
        <v>80450</v>
      </c>
      <c r="M254" s="54">
        <v>106329</v>
      </c>
      <c r="N254" s="38">
        <v>87440</v>
      </c>
      <c r="O254" s="25">
        <f t="shared" si="57"/>
        <v>9550671</v>
      </c>
    </row>
    <row r="255" spans="1:15" ht="30">
      <c r="A255" s="41">
        <v>2300</v>
      </c>
      <c r="B255" s="37" t="s">
        <v>134</v>
      </c>
      <c r="C255" s="15">
        <v>1355383</v>
      </c>
      <c r="D255" s="15">
        <v>203077</v>
      </c>
      <c r="E255" s="15">
        <v>129905</v>
      </c>
      <c r="F255" s="15">
        <v>10595</v>
      </c>
      <c r="G255" s="65">
        <v>258309</v>
      </c>
      <c r="H255" s="54">
        <v>49276</v>
      </c>
      <c r="I255" s="15">
        <v>98615</v>
      </c>
      <c r="J255" s="54">
        <v>323406</v>
      </c>
      <c r="K255" s="15">
        <v>29862</v>
      </c>
      <c r="L255" s="15">
        <v>30046</v>
      </c>
      <c r="M255" s="54">
        <v>31150</v>
      </c>
      <c r="N255" s="38">
        <v>94096</v>
      </c>
      <c r="O255" s="25">
        <f>SUM(C255:N255)</f>
        <v>2613720</v>
      </c>
    </row>
    <row r="256" spans="1:15" ht="15">
      <c r="A256" s="41">
        <v>2400</v>
      </c>
      <c r="B256" s="37" t="s">
        <v>166</v>
      </c>
      <c r="C256" s="15">
        <v>5720</v>
      </c>
      <c r="D256" s="15"/>
      <c r="E256" s="15"/>
      <c r="F256" s="15">
        <v>0</v>
      </c>
      <c r="G256" s="65">
        <v>1800</v>
      </c>
      <c r="H256" s="15">
        <v>900</v>
      </c>
      <c r="I256" s="15">
        <v>500</v>
      </c>
      <c r="J256" s="15">
        <v>1500</v>
      </c>
      <c r="K256" s="15">
        <v>1280</v>
      </c>
      <c r="L256" s="15">
        <v>550</v>
      </c>
      <c r="M256" s="15">
        <v>800</v>
      </c>
      <c r="N256" s="38">
        <v>1728</v>
      </c>
      <c r="O256" s="25">
        <f t="shared" si="57"/>
        <v>14778</v>
      </c>
    </row>
    <row r="257" spans="1:15" ht="15">
      <c r="A257" s="41">
        <v>2500</v>
      </c>
      <c r="B257" s="37" t="s">
        <v>135</v>
      </c>
      <c r="C257" s="15">
        <v>48600</v>
      </c>
      <c r="D257" s="15">
        <v>268308</v>
      </c>
      <c r="E257" s="15">
        <v>5000</v>
      </c>
      <c r="F257" s="15">
        <v>8689</v>
      </c>
      <c r="G257" s="65">
        <v>300</v>
      </c>
      <c r="H257" s="15">
        <v>4172</v>
      </c>
      <c r="I257" s="15">
        <v>926</v>
      </c>
      <c r="J257" s="15">
        <v>11164</v>
      </c>
      <c r="K257" s="15">
        <v>1694</v>
      </c>
      <c r="L257" s="15">
        <v>2500</v>
      </c>
      <c r="M257" s="15">
        <v>500</v>
      </c>
      <c r="N257" s="38">
        <v>1157</v>
      </c>
      <c r="O257" s="25">
        <f t="shared" si="57"/>
        <v>353010</v>
      </c>
    </row>
    <row r="258" spans="1:15" ht="30">
      <c r="A258" s="41">
        <v>3200</v>
      </c>
      <c r="B258" s="37" t="s">
        <v>202</v>
      </c>
      <c r="C258" s="15">
        <v>1959193</v>
      </c>
      <c r="D258" s="15"/>
      <c r="E258" s="15"/>
      <c r="F258" s="15"/>
      <c r="G258" s="65">
        <v>0</v>
      </c>
      <c r="H258" s="15"/>
      <c r="I258" s="15"/>
      <c r="J258" s="15"/>
      <c r="K258" s="15"/>
      <c r="L258" s="15"/>
      <c r="M258" s="15"/>
      <c r="N258" s="38"/>
      <c r="O258" s="25">
        <f t="shared" si="57"/>
        <v>1959193</v>
      </c>
    </row>
    <row r="259" spans="1:15" ht="15">
      <c r="A259" s="41">
        <v>4300</v>
      </c>
      <c r="B259" s="37" t="s">
        <v>136</v>
      </c>
      <c r="C259" s="15">
        <v>38431</v>
      </c>
      <c r="D259" s="15"/>
      <c r="E259" s="15"/>
      <c r="F259" s="15">
        <v>100</v>
      </c>
      <c r="G259" s="65">
        <v>0</v>
      </c>
      <c r="H259" s="15"/>
      <c r="I259" s="15"/>
      <c r="J259" s="15"/>
      <c r="K259" s="15"/>
      <c r="L259" s="15"/>
      <c r="M259" s="15"/>
      <c r="N259" s="38"/>
      <c r="O259" s="25">
        <f t="shared" si="57"/>
        <v>38531</v>
      </c>
    </row>
    <row r="260" spans="1:15" ht="15">
      <c r="A260" s="41">
        <v>5100</v>
      </c>
      <c r="B260" s="37" t="s">
        <v>137</v>
      </c>
      <c r="C260" s="15">
        <v>72743</v>
      </c>
      <c r="D260" s="15"/>
      <c r="E260" s="15"/>
      <c r="F260" s="15"/>
      <c r="G260" s="65">
        <v>150</v>
      </c>
      <c r="H260" s="15">
        <v>950</v>
      </c>
      <c r="I260" s="15"/>
      <c r="J260" s="15"/>
      <c r="K260" s="15"/>
      <c r="L260" s="15"/>
      <c r="M260" s="15"/>
      <c r="N260" s="38"/>
      <c r="O260" s="25">
        <f t="shared" si="57"/>
        <v>73843</v>
      </c>
    </row>
    <row r="261" spans="1:15" ht="15">
      <c r="A261" s="41">
        <v>5200</v>
      </c>
      <c r="B261" s="37" t="s">
        <v>138</v>
      </c>
      <c r="C261" s="15">
        <v>22692006</v>
      </c>
      <c r="D261" s="15">
        <v>544470</v>
      </c>
      <c r="E261" s="15">
        <v>114756</v>
      </c>
      <c r="F261" s="15">
        <v>32408</v>
      </c>
      <c r="G261" s="65">
        <v>49646</v>
      </c>
      <c r="H261" s="15">
        <v>4800</v>
      </c>
      <c r="I261" s="15">
        <f>47166+18000</f>
        <v>65166</v>
      </c>
      <c r="J261" s="15">
        <v>218995</v>
      </c>
      <c r="K261" s="15">
        <v>6419</v>
      </c>
      <c r="L261" s="15">
        <v>22086</v>
      </c>
      <c r="M261" s="15">
        <v>18498</v>
      </c>
      <c r="N261" s="38">
        <v>14000</v>
      </c>
      <c r="O261" s="25">
        <f t="shared" si="57"/>
        <v>23783250</v>
      </c>
    </row>
    <row r="262" spans="1:15" ht="15">
      <c r="A262" s="41">
        <v>6200</v>
      </c>
      <c r="B262" s="37" t="s">
        <v>139</v>
      </c>
      <c r="C262" s="15">
        <v>350828</v>
      </c>
      <c r="D262" s="15"/>
      <c r="E262" s="15"/>
      <c r="F262" s="15"/>
      <c r="G262" s="65">
        <v>43434</v>
      </c>
      <c r="H262" s="15">
        <f>18265-2400</f>
        <v>15865</v>
      </c>
      <c r="I262" s="15">
        <f>24371-2400</f>
        <v>21971</v>
      </c>
      <c r="J262" s="15">
        <v>29578</v>
      </c>
      <c r="K262" s="15">
        <f>24269+2400</f>
        <v>26669</v>
      </c>
      <c r="L262" s="15">
        <v>14296</v>
      </c>
      <c r="M262" s="15">
        <v>14900</v>
      </c>
      <c r="N262" s="38">
        <v>24700</v>
      </c>
      <c r="O262" s="25">
        <f t="shared" si="57"/>
        <v>542241</v>
      </c>
    </row>
    <row r="263" spans="1:15" ht="15">
      <c r="A263" s="41">
        <v>6300</v>
      </c>
      <c r="B263" s="37" t="s">
        <v>167</v>
      </c>
      <c r="C263" s="15">
        <v>229000</v>
      </c>
      <c r="D263" s="15"/>
      <c r="E263" s="15"/>
      <c r="F263" s="15"/>
      <c r="G263" s="65">
        <v>7605</v>
      </c>
      <c r="H263" s="15">
        <v>3761</v>
      </c>
      <c r="I263" s="15">
        <v>3720</v>
      </c>
      <c r="J263" s="15">
        <v>11800</v>
      </c>
      <c r="K263" s="15">
        <v>280</v>
      </c>
      <c r="L263" s="15"/>
      <c r="M263" s="15"/>
      <c r="N263" s="38">
        <v>4500</v>
      </c>
      <c r="O263" s="25">
        <f t="shared" si="57"/>
        <v>260666</v>
      </c>
    </row>
    <row r="264" spans="1:15" ht="30">
      <c r="A264" s="41">
        <v>6400</v>
      </c>
      <c r="B264" s="37" t="s">
        <v>278</v>
      </c>
      <c r="C264" s="15">
        <v>729597</v>
      </c>
      <c r="D264" s="15"/>
      <c r="E264" s="15"/>
      <c r="F264" s="15"/>
      <c r="G264" s="65">
        <v>6825</v>
      </c>
      <c r="H264" s="15">
        <v>575</v>
      </c>
      <c r="I264" s="15">
        <v>925</v>
      </c>
      <c r="J264" s="15">
        <f>34980-15860</f>
        <v>19120</v>
      </c>
      <c r="K264" s="15">
        <v>4880</v>
      </c>
      <c r="L264" s="15"/>
      <c r="M264" s="15"/>
      <c r="N264" s="38">
        <v>2500</v>
      </c>
      <c r="O264" s="25">
        <f t="shared" si="57"/>
        <v>764422</v>
      </c>
    </row>
    <row r="265" spans="1:15" ht="15">
      <c r="A265" s="41">
        <v>7200</v>
      </c>
      <c r="B265" s="37" t="s">
        <v>204</v>
      </c>
      <c r="C265" s="15">
        <v>900506</v>
      </c>
      <c r="D265" s="15"/>
      <c r="E265" s="15"/>
      <c r="F265" s="15"/>
      <c r="G265" s="65"/>
      <c r="H265" s="15"/>
      <c r="I265" s="15"/>
      <c r="J265" s="15"/>
      <c r="K265" s="15"/>
      <c r="L265" s="15"/>
      <c r="M265" s="15"/>
      <c r="N265" s="38"/>
      <c r="O265" s="25">
        <f>SUM(C265:N265)</f>
        <v>900506</v>
      </c>
    </row>
    <row r="266" spans="1:15" ht="15.75" thickBot="1">
      <c r="A266" s="39">
        <v>9000</v>
      </c>
      <c r="B266" s="66" t="s">
        <v>323</v>
      </c>
      <c r="C266" s="17">
        <v>9800</v>
      </c>
      <c r="D266" s="17"/>
      <c r="E266" s="17"/>
      <c r="F266" s="17"/>
      <c r="G266" s="67"/>
      <c r="H266" s="17"/>
      <c r="I266" s="17"/>
      <c r="J266" s="17"/>
      <c r="K266" s="17"/>
      <c r="L266" s="17"/>
      <c r="M266" s="17"/>
      <c r="N266" s="18"/>
      <c r="O266" s="25">
        <f t="shared" si="57"/>
        <v>9800</v>
      </c>
    </row>
    <row r="267" spans="1:15" ht="15.75" thickBot="1">
      <c r="A267" s="55"/>
      <c r="B267" s="68" t="s">
        <v>140</v>
      </c>
      <c r="C267" s="69">
        <f aca="true" t="shared" si="59" ref="C267:N267">SUM(C250:C252,C258:C266)</f>
        <v>50045360</v>
      </c>
      <c r="D267" s="69">
        <f t="shared" si="59"/>
        <v>3256069</v>
      </c>
      <c r="E267" s="69">
        <f t="shared" si="59"/>
        <v>1594684</v>
      </c>
      <c r="F267" s="69">
        <f t="shared" si="59"/>
        <v>368971</v>
      </c>
      <c r="G267" s="69">
        <f t="shared" si="59"/>
        <v>2057892</v>
      </c>
      <c r="H267" s="69">
        <f t="shared" si="59"/>
        <v>456315</v>
      </c>
      <c r="I267" s="69">
        <f t="shared" si="59"/>
        <v>1002773</v>
      </c>
      <c r="J267" s="69">
        <f t="shared" si="59"/>
        <v>2904483</v>
      </c>
      <c r="K267" s="69">
        <f t="shared" si="59"/>
        <v>329265</v>
      </c>
      <c r="L267" s="69">
        <f t="shared" si="59"/>
        <v>335933</v>
      </c>
      <c r="M267" s="69">
        <f t="shared" si="59"/>
        <v>351668</v>
      </c>
      <c r="N267" s="69">
        <f t="shared" si="59"/>
        <v>949268</v>
      </c>
      <c r="O267" s="14">
        <f>SUM(C267:N267)</f>
        <v>63652681</v>
      </c>
    </row>
    <row r="268" spans="2:6" ht="15">
      <c r="B268" s="34"/>
      <c r="C268" s="8"/>
      <c r="D268" s="30"/>
      <c r="E268" s="29"/>
      <c r="F268" s="29"/>
    </row>
    <row r="269" spans="2:15" ht="15">
      <c r="B269" s="34"/>
      <c r="C269" s="8"/>
      <c r="D269" s="30"/>
      <c r="E269" s="29"/>
      <c r="F269" s="29"/>
      <c r="O269" s="27"/>
    </row>
    <row r="270" spans="2:6" ht="15">
      <c r="B270" s="21" t="s">
        <v>297</v>
      </c>
      <c r="C270" s="8"/>
      <c r="D270" s="30"/>
      <c r="E270" s="29" t="s">
        <v>15</v>
      </c>
      <c r="F270" s="29"/>
    </row>
    <row r="275" ht="15">
      <c r="B275" s="21"/>
    </row>
  </sheetData>
  <sheetProtection/>
  <mergeCells count="3">
    <mergeCell ref="A5:D5"/>
    <mergeCell ref="A248:D248"/>
    <mergeCell ref="A59:D59"/>
  </mergeCells>
  <printOptions/>
  <pageMargins left="0.4330708661417323" right="0.35433070866141736" top="0.7874015748031497" bottom="0.5905511811023623" header="0.5118110236220472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33" sqref="M3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Ogres novada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Velberga</dc:creator>
  <cp:keywords/>
  <dc:description/>
  <cp:lastModifiedBy>Maija Ozola</cp:lastModifiedBy>
  <cp:lastPrinted>2020-01-14T12:56:16Z</cp:lastPrinted>
  <dcterms:created xsi:type="dcterms:W3CDTF">2004-01-19T11:58:34Z</dcterms:created>
  <dcterms:modified xsi:type="dcterms:W3CDTF">2020-01-27T14:40:24Z</dcterms:modified>
  <cp:category/>
  <cp:version/>
  <cp:contentType/>
  <cp:contentStatus/>
</cp:coreProperties>
</file>