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Pamatbudžets   " sheetId="1" r:id="rId1"/>
    <sheet name="Ieņēmumi" sheetId="2" r:id="rId2"/>
    <sheet name="Izdevumi" sheetId="3" r:id="rId3"/>
    <sheet name="Mērķdot. " sheetId="4" r:id="rId4"/>
    <sheet name="Fin. pagastu pārv." sheetId="5" r:id="rId5"/>
    <sheet name="Sheet1" sheetId="6" r:id="rId6"/>
    <sheet name="Sheet2" sheetId="7" r:id="rId7"/>
    <sheet name="Sheet3" sheetId="8" r:id="rId8"/>
  </sheet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<sst xmlns="http://schemas.openxmlformats.org/spreadsheetml/2006/main" count="1746" uniqueCount="921">
  <si>
    <t>Papildus finansējums konkrētiem mērķiem</t>
  </si>
  <si>
    <t>PA "Ogres kultūras centrs" finansējums</t>
  </si>
  <si>
    <t>Iestāde</t>
  </si>
  <si>
    <t>Pamatojums</t>
  </si>
  <si>
    <t>Pieprasīts</t>
  </si>
  <si>
    <t>Piezīmes</t>
  </si>
  <si>
    <t>Klasifikācijas kods</t>
  </si>
  <si>
    <t>Sociālais nodoklis</t>
  </si>
  <si>
    <t>Izglītība</t>
  </si>
  <si>
    <t>04.000</t>
  </si>
  <si>
    <t>PII</t>
  </si>
  <si>
    <t>05.200</t>
  </si>
  <si>
    <t>06.000</t>
  </si>
  <si>
    <t>07.000</t>
  </si>
  <si>
    <t>Kultūra</t>
  </si>
  <si>
    <t>08.000</t>
  </si>
  <si>
    <t>10.000</t>
  </si>
  <si>
    <t>Sporta centrs</t>
  </si>
  <si>
    <t>1100</t>
  </si>
  <si>
    <t>1200</t>
  </si>
  <si>
    <t>Kopā uz korekcijām:</t>
  </si>
  <si>
    <t>Iekšējas korekcijas</t>
  </si>
  <si>
    <t xml:space="preserve">   Ieņēmuma pozīcijas nosaukums             </t>
  </si>
  <si>
    <t>Kods</t>
  </si>
  <si>
    <t>KOPĀ :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</si>
  <si>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</si>
  <si>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</si>
  <si>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</si>
  <si>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</si>
  <si>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</si>
  <si>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</si>
  <si>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</si>
  <si>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</si>
  <si>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</si>
  <si>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</si>
  <si>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Kredīta atmaksa</t>
  </si>
  <si>
    <t>S.Velberga</t>
  </si>
  <si>
    <t>Paskaidrojums pie budžeta grozījumiem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</si>
  <si>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</si>
  <si>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</si>
  <si>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</si>
  <si>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</si>
  <si>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</si>
  <si>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</si>
  <si>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</si>
  <si>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</si>
  <si>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</si>
  <si>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</si>
  <si>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</si>
  <si>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</si>
  <si>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</si>
  <si>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</si>
  <si>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</si>
  <si>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</si>
  <si>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</si>
  <si>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</si>
  <si>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</si>
  <si>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</si>
  <si>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</si>
  <si>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</si>
  <si>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</si>
  <si>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</si>
  <si>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</si>
  <si>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</si>
  <si>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</si>
  <si>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Valsts kases kredīts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</si>
  <si>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</si>
  <si>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</si>
  <si>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</si>
  <si>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</si>
  <si>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</si>
  <si>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</si>
  <si>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</si>
  <si>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</si>
  <si>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</si>
  <si>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</si>
  <si>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</si>
  <si>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</si>
  <si>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</si>
  <si>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</si>
  <si>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</si>
  <si>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</si>
  <si>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</si>
  <si>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</si>
  <si>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</si>
  <si>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</si>
  <si>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</si>
  <si>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</si>
  <si>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</si>
  <si>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</si>
  <si>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</si>
  <si>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</si>
  <si>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</si>
  <si>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</si>
  <si>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</si>
  <si>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</si>
  <si>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</si>
  <si>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</si>
  <si>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</si>
  <si>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</si>
  <si>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</si>
  <si>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</si>
  <si>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</si>
  <si>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</si>
  <si>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</si>
  <si>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</si>
  <si>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</si>
  <si>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</si>
  <si>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</si>
  <si>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</si>
  <si>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</si>
  <si>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</si>
  <si>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</si>
  <si>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08.230</t>
  </si>
  <si>
    <t>08.290</t>
  </si>
  <si>
    <t>Televīzija</t>
  </si>
  <si>
    <t>08.330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</si>
  <si>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</si>
  <si>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</si>
  <si>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</si>
  <si>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</si>
  <si>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</si>
  <si>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</si>
  <si>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</si>
  <si>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</si>
  <si>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09.210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</si>
  <si>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</si>
  <si>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</si>
  <si>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</si>
  <si>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</si>
  <si>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</si>
  <si>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</si>
  <si>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</si>
  <si>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</si>
  <si>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</si>
  <si>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</si>
  <si>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</si>
  <si>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</si>
  <si>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</si>
  <si>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</si>
  <si>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</si>
  <si>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</si>
  <si>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Vietējie valdības dienesti</t>
  </si>
  <si>
    <t>Vispārējā izglītība</t>
  </si>
  <si>
    <t>Pašvaldības teritoriju un mājokļu apsaimniek.</t>
  </si>
  <si>
    <t>Jaunogres v-sk.</t>
  </si>
  <si>
    <t>Ogresgala pamatsk.</t>
  </si>
  <si>
    <t xml:space="preserve">  Kopā:</t>
  </si>
  <si>
    <t>Apstiprinātās mērķdot.</t>
  </si>
  <si>
    <t>Korekcijas</t>
  </si>
  <si>
    <t>Mērķdot.ped.algām</t>
  </si>
  <si>
    <t>Basketbola skola</t>
  </si>
  <si>
    <t>Ogres 1.vidussk.</t>
  </si>
  <si>
    <t>Ģimnāzija</t>
  </si>
  <si>
    <t>Nemateriālie ieguldījumi</t>
  </si>
  <si>
    <t>13.0.0.0.</t>
  </si>
  <si>
    <t>Mērtķdotācijas pedagogu algām</t>
  </si>
  <si>
    <t xml:space="preserve">    Muzeji un izstādes</t>
  </si>
  <si>
    <t xml:space="preserve">          Gaidu un skautu muzejs</t>
  </si>
  <si>
    <t xml:space="preserve">    Finansējums PA "Ogres kultūras centrs"</t>
  </si>
  <si>
    <t xml:space="preserve">    Pilsētas dekorēšana svētkiem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</si>
  <si>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</si>
  <si>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</si>
  <si>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</si>
  <si>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</si>
  <si>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</si>
  <si>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</si>
  <si>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</si>
  <si>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</si>
  <si>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</si>
  <si>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</si>
  <si>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</si>
  <si>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12.3.0.0.</t>
  </si>
  <si>
    <t>19.1.0.0.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</si>
  <si>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</si>
  <si>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</si>
  <si>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</si>
  <si>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</si>
  <si>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</si>
  <si>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</si>
  <si>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</si>
  <si>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</si>
  <si>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</si>
  <si>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</si>
  <si>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</si>
  <si>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</si>
  <si>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</si>
  <si>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</si>
  <si>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</si>
  <si>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</si>
  <si>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</si>
  <si>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</si>
  <si>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Bērnu nams "Laubere"</t>
  </si>
  <si>
    <t>Pansionāts "Madliena"</t>
  </si>
  <si>
    <t>F40 32 00 20</t>
  </si>
  <si>
    <t>Preces un pakalpojumi</t>
  </si>
  <si>
    <t>Komandējumi un dienesta braucieni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</si>
  <si>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</si>
  <si>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</si>
  <si>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</si>
  <si>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</si>
  <si>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</si>
  <si>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</si>
  <si>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</si>
  <si>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</si>
  <si>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</si>
  <si>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2100</t>
  </si>
  <si>
    <t>2200</t>
  </si>
  <si>
    <t>5200</t>
  </si>
  <si>
    <t>2300</t>
  </si>
  <si>
    <t>21.1.0.0.</t>
  </si>
  <si>
    <t xml:space="preserve">Budžeta iestādes ieņēmumi no ārvalstu finanšu palīdzības </t>
  </si>
  <si>
    <t>F56010000</t>
  </si>
  <si>
    <t>Kapitālieguldījumu fondu akcijas</t>
  </si>
  <si>
    <t>PII "Saulīte"</t>
  </si>
  <si>
    <t>Valsts kases kredīts   F40 32 00 10</t>
  </si>
  <si>
    <t>Atalgojums</t>
  </si>
  <si>
    <t xml:space="preserve">No vispārējiem ieņēmumiem </t>
  </si>
  <si>
    <t>LAD projekts</t>
  </si>
  <si>
    <t>Kopā: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</si>
  <si>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</si>
  <si>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</si>
  <si>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</si>
  <si>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</si>
  <si>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</si>
  <si>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</si>
  <si>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Suntažu pagasts</t>
  </si>
  <si>
    <t>Taurupes pagasts</t>
  </si>
  <si>
    <t>Kopā novadā:</t>
  </si>
  <si>
    <t>Izdevumu mērķa atšifrējums no vispārējiem ieņēmumiem</t>
  </si>
  <si>
    <t>Atbalsts ģimenēm ar bērniem (Bāriņtiesas)</t>
  </si>
  <si>
    <t>Finansējums grāmatām</t>
  </si>
  <si>
    <t>18.6.0.0.</t>
  </si>
  <si>
    <t>Pašvaldību budžetā saņemtie uzturēšanas izdevumu transferti no valsts budžeta</t>
  </si>
  <si>
    <t>Ogres sākumskola</t>
  </si>
  <si>
    <t>Kapitālais remonts un rekonstrukcija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</si>
  <si>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</si>
  <si>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</si>
  <si>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</si>
  <si>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</si>
  <si>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</si>
  <si>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</si>
  <si>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</si>
  <si>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</si>
  <si>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</si>
  <si>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</si>
  <si>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</si>
  <si>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</si>
  <si>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</si>
  <si>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</si>
  <si>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</si>
  <si>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</si>
  <si>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04.51001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</si>
  <si>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</si>
  <si>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</si>
  <si>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</si>
  <si>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</si>
  <si>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</si>
  <si>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</si>
  <si>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</si>
  <si>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</si>
  <si>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</si>
  <si>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</si>
  <si>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</si>
  <si>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</si>
  <si>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</si>
  <si>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</si>
  <si>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</si>
  <si>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</si>
  <si>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</si>
  <si>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</si>
  <si>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</si>
  <si>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</si>
  <si>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</si>
  <si>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08.2201</t>
  </si>
  <si>
    <t>08.2202</t>
  </si>
  <si>
    <t>Pārējā citur neklasificētā kultūra</t>
  </si>
  <si>
    <t>08.29001</t>
  </si>
  <si>
    <t>08.29002</t>
  </si>
  <si>
    <t>08.29003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</si>
  <si>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</si>
  <si>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</si>
  <si>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</si>
  <si>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</si>
  <si>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</si>
  <si>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</si>
  <si>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</si>
  <si>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</si>
  <si>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</si>
  <si>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</si>
  <si>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</si>
  <si>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</si>
  <si>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</si>
  <si>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</si>
  <si>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</si>
  <si>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</si>
  <si>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</si>
  <si>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</si>
  <si>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</si>
  <si>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</si>
  <si>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</si>
  <si>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</si>
  <si>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</si>
  <si>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</si>
  <si>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</si>
  <si>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</si>
  <si>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09.5105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</si>
  <si>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</si>
  <si>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</si>
  <si>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</si>
  <si>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</si>
  <si>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</si>
  <si>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</si>
  <si>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10.70004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</si>
  <si>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</si>
  <si>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</si>
  <si>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</si>
  <si>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</si>
  <si>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</si>
  <si>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Pakalpojumi, kurus budžeta iestādes apmaksā noteikto funkciju ietvaros, kas nav iestādes administratīvie izdevumi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</si>
  <si>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</si>
  <si>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</si>
  <si>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</si>
  <si>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 xml:space="preserve">Kopā </t>
  </si>
  <si>
    <t>06.100</t>
  </si>
  <si>
    <t xml:space="preserve">Mērķdot. Kolekt.vad. darb.sam.    </t>
  </si>
  <si>
    <t xml:space="preserve">Mērķdot. visp.izgl. ped. darb.sam.  </t>
  </si>
  <si>
    <t xml:space="preserve">Mērķdotācija interer. izgl.    </t>
  </si>
  <si>
    <t xml:space="preserve">Mērķdot. 5.-6.gad. apm. ped.darb.sam   </t>
  </si>
  <si>
    <t>Ogres sākumsk.</t>
  </si>
  <si>
    <t>03.200</t>
  </si>
  <si>
    <t xml:space="preserve">          Vēstures un mākslas muzejs</t>
  </si>
  <si>
    <t xml:space="preserve">Mērķis </t>
  </si>
  <si>
    <t>06.60011</t>
  </si>
  <si>
    <t>Ugunsdrošības, glābšanas un civilās drošības dienesti</t>
  </si>
  <si>
    <t>Pārējā citur neklasificētā izglītība</t>
  </si>
  <si>
    <t>Krājumi, materiāli,energoresursi,preces</t>
  </si>
  <si>
    <t>3200</t>
  </si>
  <si>
    <t>Notekūdeņu savākšana un attīrīšana</t>
  </si>
  <si>
    <t>Dotācija biedrībām un organizācijām</t>
  </si>
  <si>
    <t>Ieņēmumi no pašvaldības īpašuma iznomāšanas, pārdošanas un nodokļu pamatp.kapitaliz.</t>
  </si>
  <si>
    <t>Publisko interneta pieejas punktu attīstība</t>
  </si>
  <si>
    <t>Taurupes pamatskola</t>
  </si>
  <si>
    <t>EUR</t>
  </si>
  <si>
    <t>Finansējums māc.līdz.</t>
  </si>
  <si>
    <t>PII "Dzīpariņš"</t>
  </si>
  <si>
    <t>Budžeta iestādes ieņēmumi no ārvalstu finanšu palīdzības</t>
  </si>
  <si>
    <t>Pašvaldību saņemtie transferti no valsts budžeta daļēji finansētām atvasinātām publiskām personām un no budžeta nefinansētām iestādēm</t>
  </si>
  <si>
    <t>17.2.0.0.</t>
  </si>
  <si>
    <r>
      <t xml:space="preserve">Kods 18.6.3.0. “ </t>
    </r>
    <r>
      <rPr>
        <i/>
        <sz val="14"/>
        <rFont val="Times New Roman"/>
        <family val="1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</rPr>
      <t xml:space="preserve">” </t>
    </r>
  </si>
  <si>
    <t>Ceļu būvniecībai un remontiem</t>
  </si>
  <si>
    <t>PA "Ogres kultūras c."</t>
  </si>
  <si>
    <t>Izpildvara</t>
  </si>
  <si>
    <r>
      <t xml:space="preserve">Kods 18.6.2.0. “ </t>
    </r>
    <r>
      <rPr>
        <i/>
        <sz val="14"/>
        <rFont val="Times New Roman"/>
        <family val="1"/>
      </rPr>
      <t>Pašvaldību budžetā saņemtie valsts transferti noteiktam mērķim</t>
    </r>
    <r>
      <rPr>
        <sz val="14"/>
        <rFont val="Times New Roman"/>
        <family val="1"/>
      </rPr>
      <t xml:space="preserve">” </t>
    </r>
  </si>
  <si>
    <t>6200</t>
  </si>
  <si>
    <t>Sociālie pabalsti naudā</t>
  </si>
  <si>
    <t>21.3.0.0.0</t>
  </si>
  <si>
    <t>Mājokļu apsaimniekošana</t>
  </si>
  <si>
    <t>Siltumapgāde</t>
  </si>
  <si>
    <t>PA "Ogres kultūras centrs" izdevumi</t>
  </si>
  <si>
    <t>Finansējums māc.literat. 5-6 gad.</t>
  </si>
  <si>
    <t xml:space="preserve">       Norēķini ar citu pašvaldību sociālo pakalpojumu iestādēm</t>
  </si>
  <si>
    <t>08.29011</t>
  </si>
  <si>
    <t>PA Rosme</t>
  </si>
  <si>
    <t>Atkritumu apsaimniekošana un labiekārtošana</t>
  </si>
  <si>
    <t>Budžeta nodaļas vadītāja</t>
  </si>
  <si>
    <t>PA "Rosme"</t>
  </si>
  <si>
    <t>01.890   2200</t>
  </si>
  <si>
    <t>F20010000 AS</t>
  </si>
  <si>
    <t>F20010000 AB</t>
  </si>
  <si>
    <t>1.,2.,3.,4. klases skoln. Ēdināš.</t>
  </si>
  <si>
    <t xml:space="preserve">Pārējie 21.3.0.0.grupā neklasificētie budžeta iestāžu ieņēmumi </t>
  </si>
  <si>
    <t>21.4.0.0.0</t>
  </si>
  <si>
    <t>Suntažu internātsk.</t>
  </si>
  <si>
    <t>21.4.9.0</t>
  </si>
  <si>
    <t>Pārējie iepriekš neklasificētie pašu ieņēmumi</t>
  </si>
  <si>
    <t>04.11114</t>
  </si>
  <si>
    <t>04.2101</t>
  </si>
  <si>
    <t>04.2103</t>
  </si>
  <si>
    <t>04.51007</t>
  </si>
  <si>
    <t>05.1007</t>
  </si>
  <si>
    <t>05.30011</t>
  </si>
  <si>
    <t>06.1001</t>
  </si>
  <si>
    <t>08.1004</t>
  </si>
  <si>
    <t xml:space="preserve">       Struktūrvienība peldbaseins  "Neptūns"</t>
  </si>
  <si>
    <t>08.2203</t>
  </si>
  <si>
    <t>Pārējā izglītības vadība (Izglītības, kultūras un sporta pārvalde)</t>
  </si>
  <si>
    <t>09.82028</t>
  </si>
  <si>
    <t xml:space="preserve">       Nordplus programma - Ogres Mūzikas skolas projekts "Innovative Bridge of Music"</t>
  </si>
  <si>
    <t>09.82030</t>
  </si>
  <si>
    <t>Mācību, darba un dienesta komandējumi, dienesta, darba braucieni</t>
  </si>
  <si>
    <t>Kompensācijas, kuras izmaksā personām, pamatojoties uz Latvijas tiesu nolēmumiem</t>
  </si>
  <si>
    <t>Sprīdītis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</si>
  <si>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</si>
  <si>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</si>
  <si>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</si>
  <si>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</si>
  <si>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</si>
  <si>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</si>
  <si>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</si>
  <si>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</si>
  <si>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Mērķdot.ped.algām 5-6 gad.</t>
  </si>
  <si>
    <t>1.vidussk.</t>
  </si>
  <si>
    <t>Ģimnāzija.</t>
  </si>
  <si>
    <t>Jaunatnes centrs</t>
  </si>
  <si>
    <t>Apstipr.mērķd.inter.izgl.</t>
  </si>
  <si>
    <t>Koriģētā mērķd.inter.izgl.</t>
  </si>
  <si>
    <t>Mūzikas  skola</t>
  </si>
  <si>
    <r>
      <t xml:space="preserve">Kods 12.3.0.0. “ </t>
    </r>
    <r>
      <rPr>
        <i/>
        <sz val="14"/>
        <rFont val="Times New Roman"/>
        <family val="1"/>
      </rPr>
      <t>Pārējie nenodokļu ieņēmumi</t>
    </r>
    <r>
      <rPr>
        <sz val="14"/>
        <rFont val="Times New Roman"/>
        <family val="1"/>
      </rPr>
      <t xml:space="preserve">” </t>
    </r>
  </si>
  <si>
    <t>10.70015</t>
  </si>
  <si>
    <t>Kredīta atmaksa        F40322220</t>
  </si>
  <si>
    <t>Līdzekļu atlikums uz gada beigām (Kases apgrozāmie līdzekļi)  F22010020</t>
  </si>
  <si>
    <t>Ģimnāzijai reģionālā metod.centra un pedagogu tālākizglītības centra darbības nodrošin. visp. izgl. iest. pedagogiem</t>
  </si>
  <si>
    <t>09.82032</t>
  </si>
  <si>
    <t>PII "Zelta sietiņš"</t>
  </si>
  <si>
    <t>PII "Ābelīte"</t>
  </si>
  <si>
    <t>PII "Cīrulītis"</t>
  </si>
  <si>
    <t>Sociālais dienests</t>
  </si>
  <si>
    <t>09.82033</t>
  </si>
  <si>
    <t xml:space="preserve">Papildus finansējums konkrētiem mērķiem </t>
  </si>
  <si>
    <t>Informatīvi pasākumi uzņēmējiem</t>
  </si>
  <si>
    <t>Kods 19.2.0.0.  Pašvaldību saņemtie transferti no citām pašvaldībām</t>
  </si>
  <si>
    <t>6400</t>
  </si>
  <si>
    <t xml:space="preserve">Pašvaldības un tās iestāžu savstarpējie transferti </t>
  </si>
  <si>
    <t>Ieņēmumi no lauksaimnieciskās darbības</t>
  </si>
  <si>
    <t>01.600</t>
  </si>
  <si>
    <t>07.4501</t>
  </si>
  <si>
    <t>08.2301</t>
  </si>
  <si>
    <t xml:space="preserve">    Kultūras aktivitātes / pasākumi</t>
  </si>
  <si>
    <t>08.29005</t>
  </si>
  <si>
    <t>Ogres pilsētas vēsturiskā centra kultūras telpas revitalizācija, veicinot latvisko dzīvesziņu (Brīvības ielas skvēra pārbūve pie Zelta Liepas)</t>
  </si>
  <si>
    <t>Reliģisko organizāciju un citu biedrību un nodibinājumu pakalpojumi</t>
  </si>
  <si>
    <t>Projekts Skolēnu autobusi (Soc.droš.tīkls)</t>
  </si>
  <si>
    <t>10.70003</t>
  </si>
  <si>
    <t>Sociālā dienesta asistentu pakalpojumi</t>
  </si>
  <si>
    <t>Zaudējumi no valūtas kursa svārstībām</t>
  </si>
  <si>
    <t>Aprūpes pakalpojumi</t>
  </si>
  <si>
    <t>6300</t>
  </si>
  <si>
    <t>01.83011</t>
  </si>
  <si>
    <t>01.83012</t>
  </si>
  <si>
    <t>01.83013</t>
  </si>
  <si>
    <t>03.2001</t>
  </si>
  <si>
    <t>04.11102</t>
  </si>
  <si>
    <t>04.11103</t>
  </si>
  <si>
    <t>04.4301</t>
  </si>
  <si>
    <t>05.4001</t>
  </si>
  <si>
    <t xml:space="preserve">Mājokļu attīstība </t>
  </si>
  <si>
    <t>06.2001</t>
  </si>
  <si>
    <t>06.60004</t>
  </si>
  <si>
    <t xml:space="preserve">       Projektu konkurss "Veidojam vidi ap mums Ogres novadā"</t>
  </si>
  <si>
    <t xml:space="preserve">      Pašvaldības teritoriju labiekārtošana</t>
  </si>
  <si>
    <t xml:space="preserve">       Kapu saimniecība</t>
  </si>
  <si>
    <t>07.2101</t>
  </si>
  <si>
    <t>08.29007</t>
  </si>
  <si>
    <t>10.70006</t>
  </si>
  <si>
    <t>Jauniešu garantijas ietvaros projekta "PROTI un DARI!" īstenošana</t>
  </si>
  <si>
    <t>09.8101</t>
  </si>
  <si>
    <r>
      <t xml:space="preserve">Kods 18.6.4.0. “ </t>
    </r>
    <r>
      <rPr>
        <i/>
        <sz val="14"/>
        <rFont val="Times New Roman"/>
        <family val="1"/>
      </rPr>
      <t xml:space="preserve">Pašvaldību budžetā saņemtā dotācija no pašvaldību finanšu izlīdzināšanas fonda </t>
    </r>
    <r>
      <rPr>
        <sz val="14"/>
        <rFont val="Times New Roman"/>
        <family val="1"/>
      </rPr>
      <t xml:space="preserve">” </t>
    </r>
  </si>
  <si>
    <t>Papildus aktivitātes  Ogres novada pašvaldības iestādēs (vasaras nometnes)</t>
  </si>
  <si>
    <t>08.29008</t>
  </si>
  <si>
    <t>Finansējums bērniem, kuri apmeklē privātās pirmsskolas izglītības iestādes</t>
  </si>
  <si>
    <t>06.60012</t>
  </si>
  <si>
    <t xml:space="preserve"> </t>
  </si>
  <si>
    <t xml:space="preserve">      SAM 9.2.4.2. Pasākumi vietējās sabiedrības slimību profilaksei un veselības veicināšanai</t>
  </si>
  <si>
    <t>08.2304</t>
  </si>
  <si>
    <t xml:space="preserve">    Kultūras centri - tautas nami</t>
  </si>
  <si>
    <t>08.300</t>
  </si>
  <si>
    <t>Apraides un izdevniecības pakalpojumi</t>
  </si>
  <si>
    <t>Ēdināšanas izmaksu kompensācijas</t>
  </si>
  <si>
    <t>Skolnieku pārvadājumi</t>
  </si>
  <si>
    <t>06.4001</t>
  </si>
  <si>
    <t>Bibliotēka</t>
  </si>
  <si>
    <t>09.82001</t>
  </si>
  <si>
    <t>Karjeras atbalsts vispārējās un profesionālās izglītības iestādēs</t>
  </si>
  <si>
    <t>Kods 21.1.0.0.  Budžeta iestādes ieņēmumi no ārvalstu finanšu palīdzības</t>
  </si>
  <si>
    <t>5100</t>
  </si>
  <si>
    <t>09.10011</t>
  </si>
  <si>
    <t>09.60010</t>
  </si>
  <si>
    <t>09.60020</t>
  </si>
  <si>
    <t>04.510010</t>
  </si>
  <si>
    <t>08.29013</t>
  </si>
  <si>
    <t>Sajūtu un brīvā laika pavadīšanas dārzs "Raiņa un Aspazijas saulainais stūrītis" (LAD)</t>
  </si>
  <si>
    <t>09.82037</t>
  </si>
  <si>
    <t>09.82038</t>
  </si>
  <si>
    <t>2800</t>
  </si>
  <si>
    <t>SAM 5,6,2, Degradētās teritorijas Pārogres industriālajā parkā revitalizācija</t>
  </si>
  <si>
    <t>2500</t>
  </si>
  <si>
    <t>Ogres 1. vidusskolas ERASMUS programmas 2. pamatdarbības starpskolu stratēģisko partnerību projekts "21. gadsimta globalizācijas un ilgtspējības izaicinājumi"</t>
  </si>
  <si>
    <t>Ģimnāzijas ERASMUS programmas 2. pamatdarbības starpskolu stratēģisko partnerību projekts "Rītdienas mācīšana"</t>
  </si>
  <si>
    <t>Sākumskolas ERASMUS programmas 2. pamatdarbības starpskolu stratēģisko partnerību projekts "Kam ir bail no matemātikas"</t>
  </si>
  <si>
    <t>09.82041</t>
  </si>
  <si>
    <t>PA "Rosme" izdevumi</t>
  </si>
  <si>
    <t>Pielikumā PA "Rosme" budž. korekc.</t>
  </si>
  <si>
    <t>7200</t>
  </si>
  <si>
    <t>Atbalsts izglītojamo individuālo kompetenču attīstībai</t>
  </si>
  <si>
    <t>09.82039</t>
  </si>
  <si>
    <t>Suntažu internātpamatskola</t>
  </si>
  <si>
    <t>08.2101</t>
  </si>
  <si>
    <t>Ogres un Ogresgala atlikums uz gada beigām</t>
  </si>
  <si>
    <t>09.82042</t>
  </si>
  <si>
    <t>Kods 21.3.8.0.  Budžeta iestādes ieņēmumi par nomu un īri</t>
  </si>
  <si>
    <t>04.51009</t>
  </si>
  <si>
    <t>10.40001</t>
  </si>
  <si>
    <t>8.3.0.0.</t>
  </si>
  <si>
    <t>Īeņēmumi no dividendēm</t>
  </si>
  <si>
    <t>21.3.4.0.</t>
  </si>
  <si>
    <t>03.6002</t>
  </si>
  <si>
    <t>Atskurbtuves pakalpojumiem</t>
  </si>
  <si>
    <t>Projektu pieteikumu, tehniskās dokumentācijas, topogrāfiju izstrāde un vides ekspertīzes, energoaudits</t>
  </si>
  <si>
    <t>04.11116</t>
  </si>
  <si>
    <t>Ogres novadnieka karte</t>
  </si>
  <si>
    <t>Jāņa Čakstes prospekta rekonstrukcija</t>
  </si>
  <si>
    <t>Rūpnieku ielas pārbūve</t>
  </si>
  <si>
    <t xml:space="preserve">         Kultūrvēsturiskā pieminekļa "Pie Zelta Liepas" rekonstrukcija</t>
  </si>
  <si>
    <t>08.2204</t>
  </si>
  <si>
    <t>08.2303</t>
  </si>
  <si>
    <t>08.29018</t>
  </si>
  <si>
    <t>Ķeipenes dzelzceļa stacijas ēkas atjaunošana(LAD)</t>
  </si>
  <si>
    <t>08.3101</t>
  </si>
  <si>
    <t>08.3301</t>
  </si>
  <si>
    <t>08.4001</t>
  </si>
  <si>
    <t>Erasmus programmas projekts Digitālās kompetences darba tirgū jauniešiem</t>
  </si>
  <si>
    <t>10.4001</t>
  </si>
  <si>
    <t>10.5001</t>
  </si>
  <si>
    <t>10.70016</t>
  </si>
  <si>
    <t>ERAF "Pakalpojumu infrastruktūras attīstība deinstitualizācijas plānu īstenošanai"</t>
  </si>
  <si>
    <t>09.82043</t>
  </si>
  <si>
    <t>Ogres 1. vidusskolas ERASMUS programmas 2. pamatdarbības stratēģiskās partnerības projekts "Tavu teorētisko zināšanu lietojums praksē"</t>
  </si>
  <si>
    <t>Pašvaldību atmaksa valsts budžetam par iepriekšējos gados saņemto, bet neizlietoto valsts budžeta transfertu uzturēšanas izdevumiem</t>
  </si>
  <si>
    <t>Mērķdotācija</t>
  </si>
  <si>
    <t>Tūrisma informācijas centrs</t>
  </si>
  <si>
    <t>01.8201</t>
  </si>
  <si>
    <t>01.83014</t>
  </si>
  <si>
    <t>Pārējie transferti citām pašvaldībām</t>
  </si>
  <si>
    <t>Pašvaldību uzturēšanas izdevumu transferti citām pašvaldībām</t>
  </si>
  <si>
    <t>09.82002</t>
  </si>
  <si>
    <t>Atbalsts priekšlaicīgas mācību pārtraukšanas samazināšanai (Pumpurs)</t>
  </si>
  <si>
    <t>Projektu konk. "Veidojam vidi ap mums"</t>
  </si>
  <si>
    <t>Projekta nosaukums</t>
  </si>
  <si>
    <t xml:space="preserve">Palielinās Valsts kasei atgriežamais kredīts </t>
  </si>
  <si>
    <t>09.82045</t>
  </si>
  <si>
    <t>Ogres 1. vidusskolas ERASMUS programmas 1. pamatdarbības mobilitātes projekts "No vārdiem pie darbiem: mūsdienīgu lietpratību veicinoša skola"</t>
  </si>
  <si>
    <t>04.7301</t>
  </si>
  <si>
    <t>Peldbaseins "Neptūns"</t>
  </si>
  <si>
    <t>08.10004</t>
  </si>
  <si>
    <t>07.4502</t>
  </si>
  <si>
    <t>06.60022</t>
  </si>
  <si>
    <t>10.70007</t>
  </si>
  <si>
    <t>Sociālo pakalpojumu atbalsta sistēmas pilnveide</t>
  </si>
  <si>
    <t>Pārējie izdevumi</t>
  </si>
  <si>
    <t>06.60022 3200</t>
  </si>
  <si>
    <t>04.11117</t>
  </si>
  <si>
    <t xml:space="preserve">     Veselības veicināšanas pasākumiem</t>
  </si>
  <si>
    <t>Veselības veicināšanas pasākumiem</t>
  </si>
  <si>
    <t>PA "Ogres komunikācijas" izdevumi</t>
  </si>
  <si>
    <t>PA "Ogres komunikācijas" finansējums</t>
  </si>
  <si>
    <t xml:space="preserve">Finansējums PA "Ogres komunikācijas" </t>
  </si>
  <si>
    <t xml:space="preserve"> PA "Ogres komunikācijas" finansējums</t>
  </si>
  <si>
    <t>PA Ogres komunikācijas atlikums uz gada beigām</t>
  </si>
  <si>
    <t>Vēlēšanu komisija</t>
  </si>
  <si>
    <t>Krājumi, materiāli,energoresursi, preces</t>
  </si>
  <si>
    <t xml:space="preserve">05.1001 </t>
  </si>
  <si>
    <t>SIA Ogres namsaimnieks finansējums domes deliģēto funkciju izpildei</t>
  </si>
  <si>
    <t>SIA Ogres namsaimnieks  pamatkapitāla palielināšanai</t>
  </si>
  <si>
    <t>Ogres novada pašvaldības 2019.gada budžeta ieņēmumi.</t>
  </si>
  <si>
    <t xml:space="preserve">Ogres un Ogresgala 2019.g. budžets </t>
  </si>
  <si>
    <t>Pašvald. aģentūras "Ogres komunikācijas" 2019.g. budžets</t>
  </si>
  <si>
    <t>Pašvald. aģentūras "Kultūras centrs" 2019.g. budžets</t>
  </si>
  <si>
    <t>Pašvald. aģentūras "Rosme" 2019.g. budžets</t>
  </si>
  <si>
    <t>Suntažu pagasta pārvaldes 2019.g. budžets</t>
  </si>
  <si>
    <t>Lauberes pagasta pārvaldes 2019.g. budžets</t>
  </si>
  <si>
    <t>Ķeipenes pagasta pārvaldes 2019.g. budžets</t>
  </si>
  <si>
    <t>Madlienas pagasta pārvaldes 2019.g. budžets</t>
  </si>
  <si>
    <t>Krapes pagasta pārvaldes 2019.g. budžets</t>
  </si>
  <si>
    <t>Mazozolu pagasta pārvaldes 2019.g. budžets</t>
  </si>
  <si>
    <t>Meņģeles pagasta pārvaldes 2019.g. budžets</t>
  </si>
  <si>
    <t>Taurupes pagasta pārvaldes 2019.g. budžets</t>
  </si>
  <si>
    <t>Ogres novada pašvaldības 2019.g. budžets</t>
  </si>
  <si>
    <t>Procentu ieņēmumi par maksas pakalpojumiem</t>
  </si>
  <si>
    <t>21.3.6.0.</t>
  </si>
  <si>
    <t>Ieņēmumi par  dokumentu izsniegšanu un kancelejas pakalpojumiem</t>
  </si>
  <si>
    <t>F40 32 00 10</t>
  </si>
  <si>
    <t>Budžeta  atl.uz  01. 01. 2019.g.        F22010010</t>
  </si>
  <si>
    <t>Ogres novada pašvaldības 2019. gada budžeta  izdevumi atbilstoši funkcionālajām kategorijām.</t>
  </si>
  <si>
    <t>01.6001</t>
  </si>
  <si>
    <t>Pārējie iepriekš neklasificētie vispārējie valdības dienesti (vēlēšanas)</t>
  </si>
  <si>
    <t>Finansējums Ogres un Ikšķiles PA "Tūrisma, sporta un atpūtas kompleksa "Zilie kalni"attīstības aģentūra"</t>
  </si>
  <si>
    <t>Civilās aizsardzības pasākumi</t>
  </si>
  <si>
    <t>Projektu pieteikumu izstrāde, tehniskās dokumentācijas sagatavošana</t>
  </si>
  <si>
    <t>LAD projekts Ēkas "Krievskola" kā vietējās tirdzniecības vietas atjaunošana</t>
  </si>
  <si>
    <t>04.11118</t>
  </si>
  <si>
    <t>LAD projekts Suntažu tirgus laukuma izveide</t>
  </si>
  <si>
    <t>Vispārējie lauksaimniecības izdevumi</t>
  </si>
  <si>
    <t>04.2102</t>
  </si>
  <si>
    <t xml:space="preserve">Centrālās Baltijas jūras reģiona programmas projekts "Nordic urban planning:  holistic approach for extreme weather" (NOAH) </t>
  </si>
  <si>
    <t>Novērst plūdu un krasta erozijas risku apdraudējumu Ogres pilsētas teritorijā, veicot vecā aizsargdambja pārbūvi un jauna aizsargmola (straumvirzes) būvniecību pie Ogres upes ietekas Daugavā</t>
  </si>
  <si>
    <t>04.51011</t>
  </si>
  <si>
    <t>04.51012</t>
  </si>
  <si>
    <t>04.51015</t>
  </si>
  <si>
    <t>Parka ielas pārbūve</t>
  </si>
  <si>
    <t>Grants ceļu bez cietā seguma posmu pārbūve Ogres novadā</t>
  </si>
  <si>
    <t xml:space="preserve">Autotransporta tunelis zem dzelzceļa sliežu ceļiem </t>
  </si>
  <si>
    <t>Ielu tīrīšanai, atkritumu savākšanai,teritoriju labiekārtošanai</t>
  </si>
  <si>
    <t>Koncesija atkritumu apsaimniekošana</t>
  </si>
  <si>
    <t xml:space="preserve">Lietus ūdens kanalizācija </t>
  </si>
  <si>
    <t>Notekūdeņu (savākšana un attīrīšana)</t>
  </si>
  <si>
    <t>05.30002</t>
  </si>
  <si>
    <t>Siltumnīcefekta gāzu emisiju samazināšana izbūvējot Ogres Centrālo bibliotēkas ēku</t>
  </si>
  <si>
    <t>Ēkas Upes prospektā 16, Ogrē  siltināšana un rekonstrukcija, pielāgojot Ogres novada Sociālā dienesta un tā struktūrvienību vajadzībām</t>
  </si>
  <si>
    <t>06.3001</t>
  </si>
  <si>
    <t>Vispārējie ūdens apgādes izdevumi</t>
  </si>
  <si>
    <t>mājokļu apsaimniekošana</t>
  </si>
  <si>
    <t>siltumapgāde</t>
  </si>
  <si>
    <t>kapu saimniecība</t>
  </si>
  <si>
    <t>Dabas un bioloģiskās daudzveidības saglabāšanas un aizsardzības pasākumi īpaši aizsargājamajā dabas teritorijā "Ogres ieleja"</t>
  </si>
  <si>
    <t>Projektu konkurss "Veidojam vidi ap mums Ogres novadā"</t>
  </si>
  <si>
    <t>Īpašumu inventarizācijai, uzmērīšanai un reģistrēšanai Zemesgrāmatā</t>
  </si>
  <si>
    <t>Nevalstisko organizāciju projektu atbalstam</t>
  </si>
  <si>
    <t>Saimniecības nodaļa</t>
  </si>
  <si>
    <t>Vides pieejamības nodrošināšana Ogres pilsētas pazemes pārejā zem sliežu ceļa</t>
  </si>
  <si>
    <t>Pašvaldības teritoriju labiekārtošana</t>
  </si>
  <si>
    <t>06.60023</t>
  </si>
  <si>
    <t>Teritorijas labiekārtošana Jāņa Čakstes prospektā 1 (rotaļu laukums), Ogrē -I, II kārta</t>
  </si>
  <si>
    <t>06.60015</t>
  </si>
  <si>
    <t>Viedo tehnoloģiju ieviešana Ogres pilsētas apgaismojuma sistēmā</t>
  </si>
  <si>
    <t>06.60016</t>
  </si>
  <si>
    <t>Publiski pieejamās ūdens tūristu apmetnes vietas drošības un vides pieejamības pakalpojumu paaugstināšana Ogresgala pagastā</t>
  </si>
  <si>
    <t>08.220</t>
  </si>
  <si>
    <t xml:space="preserve">         Kultūrvēsturiskā peminekļa "Pie Zelta Liepas" rekonstrukcija</t>
  </si>
  <si>
    <t xml:space="preserve">    Sudrabu Edžus memoriālā istaba</t>
  </si>
  <si>
    <t xml:space="preserve">    Kultūras centri, nami</t>
  </si>
  <si>
    <t xml:space="preserve">    Komunikāciju centrs Ķeipenē</t>
  </si>
  <si>
    <t>08.2306</t>
  </si>
  <si>
    <t xml:space="preserve">PA ,,Ogres novada kultūras centrs” lielās zāles atjaunošana </t>
  </si>
  <si>
    <t>Kultūras aktivitātes / pasākumi</t>
  </si>
  <si>
    <t>Pilsētas dekorēšana svētkiem</t>
  </si>
  <si>
    <t>Pensionēto izglītības darbinieku pasāk.</t>
  </si>
  <si>
    <t>Ogres pilsētas vēsturiskā centra kultūras telpas revitalizācija, veicinot latvisko dzīvesziņu (Brīvības ielas skvēra pārbūve pie Zelta Liepas) un mākslas skolas cokols</t>
  </si>
  <si>
    <t>Kultūras mantojuma saglabāšana un attīstība Daugavas ceļā</t>
  </si>
  <si>
    <t>Projektu konkurss RADI Ogres novadam (Kultūras, sporta un izglītības pasākumi, mācības, kursi)</t>
  </si>
  <si>
    <t>08.29012</t>
  </si>
  <si>
    <t>Greenways, Velo tūrisms</t>
  </si>
  <si>
    <t>Finansējums bērniem, kuri apmeklē privātās pirmsskolas izglītūibas iestādes</t>
  </si>
  <si>
    <t>Ķeipenes PII  "Saulīte"</t>
  </si>
  <si>
    <t>Pārējā izglītības vadība (Izglītības un sporta pārvalde)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</si>
  <si>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</si>
  <si>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</si>
  <si>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</si>
  <si>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</si>
  <si>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</si>
  <si>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</si>
  <si>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09.82006</t>
  </si>
  <si>
    <t>Erasmus + programmas projekts Nr.2018-1-TR01-KA229-059950 3. Angļu valodas apguve (ģimnāzija)</t>
  </si>
  <si>
    <t>Projekts Skolēnu autobusi (Šveice)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</si>
  <si>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</si>
  <si>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</si>
  <si>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</si>
  <si>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</si>
  <si>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Nordplus programma - Ogres Mūzikas skolas projekts "Innovative Bridge of Music"</t>
  </si>
  <si>
    <t>8.1.2.SAM "Uzlabot vispārējās izglītības iestāžu mācību vidi Ogres novadā"</t>
  </si>
  <si>
    <t>Pārējās izglītības iestāžu pedagogu profesionālās kompetences  pilnveide (Ģimnāzija)</t>
  </si>
  <si>
    <t>Ģimnāzijas projekts ERASMUS programmas stratēģisko skolu sadarbības partnerību projekts (ITĀLIJA) 2016-1-IT02-KA219-024226-3</t>
  </si>
  <si>
    <t>09.82046</t>
  </si>
  <si>
    <t xml:space="preserve">Erasmus + programmas projekts Nr.2018-1-EE01-KA229-047133 4 Darbīgās bites (Dzīpariņš) </t>
  </si>
  <si>
    <t>10.70008</t>
  </si>
  <si>
    <t>Profesionālā darba attīstība pašvaldībās, 9.2.1.1/15/I/001</t>
  </si>
  <si>
    <t>10.70009</t>
  </si>
  <si>
    <t>Konkurss Vides pieejamības nodrošināšana invalīdiem</t>
  </si>
  <si>
    <t>ES projekts "Deinstitucionalizācija un sociālie pakalpojumi personām ar invaliditāti un bērniem"</t>
  </si>
  <si>
    <t>F22010020</t>
  </si>
  <si>
    <t>Pieprasījuma noguldījuma izņemšana</t>
  </si>
  <si>
    <t>F55 01 00 11</t>
  </si>
  <si>
    <t>SIA MS siltums  pamatkapitāla palielināšanai (katlumāju rekonstrukcija) ; PSIA "Labs nams" pamatkapitāls</t>
  </si>
  <si>
    <t>Ogres novada pašvaldības 2019. gada budžeta  izdevumi atbilstoši ekonomiskajām kategorijām.</t>
  </si>
  <si>
    <t>Kapitālo izdevumu transferti</t>
  </si>
  <si>
    <t>Ogres novada  2019.gada budžeta ieņēmumu grozījumi.</t>
  </si>
  <si>
    <t xml:space="preserve">Ogres un Ogresgala 2019.g. budžeta korekc. </t>
  </si>
  <si>
    <t>Pašvald. aģentūras "Ogres komunikācijas" 2019.g. budž.korekc.</t>
  </si>
  <si>
    <t>Pašvald. aģentūras "Kultūras centrs" 2019.g.korekc.</t>
  </si>
  <si>
    <t>Pašvald. aģentūras "Rosme" 2019.g.korekc.</t>
  </si>
  <si>
    <t>Budžeta atlikums uz 01.01.2019.</t>
  </si>
  <si>
    <t>Informācija par papildus izdevumu segšanai pieprasītajiem līdzekļiem 2019.gada budžeta grozījumos</t>
  </si>
  <si>
    <t>SKOLAS  2019.g.koriģētie izdevumi.</t>
  </si>
  <si>
    <t>PII koriģētie izdevumi    2019.gadā</t>
  </si>
  <si>
    <t>2019.g. interešu izglītībai koriģētie izdevumi.</t>
  </si>
  <si>
    <t>2019.g. profesionālās ievirzes izglītības iestāžu koriģētie izdevumi.</t>
  </si>
  <si>
    <t>2019.g. mērķdotācija tautas kolektīvu vadītājiem.</t>
  </si>
  <si>
    <t>2019.gada koriģētās mērķdotācijas izglītības iestāžu pedagoģisko darbinieku darba samaksai un sociālās apdrošināšanas oblidātajām iemaksām.</t>
  </si>
  <si>
    <t>6500</t>
  </si>
  <si>
    <t>Kompensācijas, kuras izmaksā personām, pamatojoties uz tiesu nolēmumiem</t>
  </si>
  <si>
    <t>Ogresgala pamtskola</t>
  </si>
  <si>
    <t>Pārcelts no IKSP budžeta izglītojamo apbalvošanai ar naudas balvām</t>
  </si>
  <si>
    <t>Par Madlienas transporta izmantošanu Ķeipenes deju kolektīvam</t>
  </si>
  <si>
    <t>Par Madlienas transporta izmantošanu bāriņtiesas darba nodrošināšanai</t>
  </si>
  <si>
    <t>06.60024</t>
  </si>
  <si>
    <t>Vides aizsardzības proj. "Lobes ezera apsaimniekošanas plāna izstrāde"</t>
  </si>
  <si>
    <t>PII "Strautiņš"</t>
  </si>
  <si>
    <t>EUR 1 309 finansējums mācību līdzekļiem</t>
  </si>
  <si>
    <t>EUR 1 936 finansējums mācību līdzekļiem</t>
  </si>
  <si>
    <t>EUR 2 028 finansējums mācību līdzekļiem</t>
  </si>
  <si>
    <t>EUR 572 finansējums mācību līdzekļiem</t>
  </si>
  <si>
    <t>EUR 5 000 finansējums mācību līdzekļiem</t>
  </si>
  <si>
    <t>EUR 6 063 finansējums mācību literatūrai</t>
  </si>
  <si>
    <t>Iesniegums EUR 1200 āra ekipējuma iegāde dalībai skautu un gaidu starptautiskā nometnē; EUR 1 500 finansējums mācību līdzekļiem</t>
  </si>
  <si>
    <t>EUR 6 030 ieņēmumi no Valsts kultūrkapitāla fonda proj. "Ogres muzeja raksti"</t>
  </si>
  <si>
    <t>EUR 10 510 pārcelts uz pagastu pārvaldēm</t>
  </si>
  <si>
    <t>Funkcija 08.29007 Papildus aktivitāšu veikšanai (vasaras nometnes)</t>
  </si>
  <si>
    <t>Papildus aktivitātes -Vasaras nometnes</t>
  </si>
  <si>
    <t>Ogres valsts ģimnāzija</t>
  </si>
  <si>
    <t>Vienošanās ar Sporta c.- pārcelts finans. uz pagastiem par transporta izmantošanu sportistu pārvadāšanai dalībai sacensībās</t>
  </si>
  <si>
    <t>Vienošanās ar IKSP par transporta izmantošanu</t>
  </si>
  <si>
    <t xml:space="preserve">Pārcelti no Lauberes bužeta uz Proj. Sajūtu un brīvā laika pavadīšanas dārzs "Raiņa un Aspazijas saulainais stūrītis" (LAD) </t>
  </si>
  <si>
    <t>Ieņēmumi EUR 1 286 no Kultūrkapitāla fonda</t>
  </si>
  <si>
    <t>EUR 120  pārcelts no IKSP budžeta izglītojamo apbalvošanai ar naudas balvām;</t>
  </si>
  <si>
    <t>Mērķdotācija Suntažu internātskolas finansēšanai</t>
  </si>
  <si>
    <t>Dotācija mācību literatūras iegādei</t>
  </si>
  <si>
    <t>Nordpluss programma Ogres Mūzikas skolas projekts Innovative Bridge of Music</t>
  </si>
  <si>
    <t>Par atskurbtuves pakalpojumu sniegšanu</t>
  </si>
  <si>
    <t>Speciālās dotācijas pašvaldībām</t>
  </si>
  <si>
    <t xml:space="preserve">Finansējums Eiropas Parlamenta vēlēšanu nodrošināšanai </t>
  </si>
  <si>
    <t>Ieņēmumi no VKKF proj. "Ogres muzeja raksti" īstenošanai</t>
  </si>
  <si>
    <t>Ieņēmumi no VKKF proj. "Materiāli tehniskās bāzes uzlabošana Ogres mākslas skolā" īstenošanai</t>
  </si>
  <si>
    <t>Latvijas vides aizsardzības fonds proj. "Lobes ezera apsaimniekošanas plāna izstrāde" īstenošanai</t>
  </si>
  <si>
    <t>LR Izglītības un zinātnes ministrija - Ģimnāzijai reģionālā metodiskā centra un pedagogu tālākizglītības centra darbības nodrošināšanai, visp. izglīt. atbalsta pasāk. un pedagogu profesionālās kompetences pilnveidošanai</t>
  </si>
  <si>
    <t xml:space="preserve"> LR Zemessardze -finansējums Zemessardzes vasaras 28.sporta spēlļu organizēšanai Madlienas pag.</t>
  </si>
  <si>
    <t>No ieņēmumiem no LR Zemessardze -finansēj. Zemessardzes vasaras 28.sporta spēles Madlienas pag. organizēšanai</t>
  </si>
  <si>
    <t>Ieņēmumi no IZM EUR 5 843</t>
  </si>
  <si>
    <t>Ķeipenes dzelzceļa stacijas ēkas atjaunošana (LAD)</t>
  </si>
  <si>
    <t>EUR 3 500 iesniegums papildus, lai varētu pabeigt remontdarbus</t>
  </si>
  <si>
    <t>Vienošanās EUR 223 par Madlienas transporta izmantošanu bāriņtiesas darba vajadzībām.</t>
  </si>
  <si>
    <t>EUR 9 600 pārcelts uz 08.29001 funkciju - kultūras aktivit.</t>
  </si>
  <si>
    <t>Sporta centram pedagogu darba samaksai un soc.apdr.iem.</t>
  </si>
  <si>
    <t>Basketbolskolai pedagogu darba samaksai un soc.apdr.iem.</t>
  </si>
  <si>
    <t>EUR 229 Valsts nodevu segšana saistībā ar lietas izskatīšanu un iekšējas korekcijas</t>
  </si>
  <si>
    <t>EUR 75 pārcelts uz nodokļu maksājumiem</t>
  </si>
  <si>
    <t>Novada ģimenes dienas pasākumā skatuves noma</t>
  </si>
  <si>
    <t>PVN no iepriekšējā gada</t>
  </si>
  <si>
    <t>Pārcelts uz pakalpojumiem</t>
  </si>
  <si>
    <t>Funkcija 06.60006 Proj. Veidojam vidi ap mums</t>
  </si>
  <si>
    <t>Pārskaitīts uz pagastu pārvaldēm</t>
  </si>
  <si>
    <t>EUR 1000 pārcelts uz pakalp. par tiesu izpildīt. pakalpoj. sakarā ar nodokļu parādn. nāvi</t>
  </si>
  <si>
    <t>Par neplānotu tiesu izpildītāja pakalpojumu pārcelts no nodokļu maksāj.</t>
  </si>
  <si>
    <t>Nepieciešams papildus, jo plānotais ikgadējais brauciens notiek Igaunijā</t>
  </si>
  <si>
    <t>Sakarā ar to, ka šogad nav noslēgts līgums ar Circle K par telpu nomu, pārcelti  līdzekļi uz inventāru un datortehniku</t>
  </si>
  <si>
    <t>Aprīkojums jaunajās telpās</t>
  </si>
  <si>
    <t>Divi monitori tūrisma video rādīšanai Circle K stacijās</t>
  </si>
  <si>
    <t>Iekšēja korekcija</t>
  </si>
  <si>
    <t>Vienošanās ar Sporta komandām - pārcelts finans. uz pagastiem par transporta izmantošanu sportistu pārvadāšanai dalībai sacensībās</t>
  </si>
  <si>
    <t>Vienošanās EUR 186 pārcelt uz Madlienas pag. par transporta izmantošanu dalībai sporta sacensībāsun  EUR 695 vienošanās ar Suntažu pag. par transporta izmantošanu</t>
  </si>
  <si>
    <t>Rīkojums EUR 3 300 pārcelt uz skolu budžetiem izglītojamo apbalvošanai ar naudas balvām; Vienošanās EUR 380 uz Suntažu pag. par transporta izmantošanu nokļūšanai seminārā</t>
  </si>
  <si>
    <t>Ogres valsts Ģimnāzijas Erasmus programmas projekts2018-1-TR01-KA229-059950 3</t>
  </si>
  <si>
    <t>Printeri ir mazvērt. inventārā</t>
  </si>
  <si>
    <t>EUR 6 500 finansējums mācību literatūrai; EUR 11 500 no pamatlīdzekļiem pāriet uz pakalpojumiem remontdarbiem</t>
  </si>
  <si>
    <t xml:space="preserve">Līgums EUR 1 816  līdz. segšanai no Lauberes budžeta </t>
  </si>
  <si>
    <t>EUR 8 550 finansējums mācību literatūrai; EUR 6 500 parcelts uz mazvērtīgo inventāru un EUR 1 000 uz pakalpojumiem</t>
  </si>
  <si>
    <t>Pārcelts no pabalstiem</t>
  </si>
  <si>
    <t>Ieņēmumi EUR 15 000 par elektroenerģiju no Re&amp;Re būves komunālie maksājumi un EUR 5 000 no Re&amp;Re būves komunālie maksājumi (lifta, ventilācijas sistēmas, pacēlāja apkalpošana), novirzīt 3 600 euro uz domes deleģētajām funkcijām SIA Ogres namsaimnieks apsaimniekošanas izdevumiem</t>
  </si>
  <si>
    <t>Pārcelts uz aprūpes pakalpojumiem</t>
  </si>
  <si>
    <t>Ieņēmumi no klientu maksājumiem par pusdienām EUR 5 623 un EUR -30 000 pārceļ uz  funkciju Norēķini ar citu pašvaldību sociālo pakalpojumu iestādēmsavstarpējiem norēķiniem- maksājumi par citos novados pansionātos ievietotajiem; EUR 5 000 pārcelts no ēdināšanas pabalstiem</t>
  </si>
  <si>
    <t>Asistenta pakalpojuma izpilde pārsniedz ieplānoto 2019.gada budžetu, līdz ar to nepieciešami papildus līdzekļi  no LM pakalpojuma nodrošināšanai un iekšējas korekcijas</t>
  </si>
  <si>
    <t>Atlikums no datoru iegādes</t>
  </si>
  <si>
    <t>2400</t>
  </si>
  <si>
    <t>EUR 1 266 finansējums mācību literatūrai un EUR 615 pārcelts uz remontdarbiem</t>
  </si>
  <si>
    <t>EUR 7 965 finansējums mācību literatūrai un EUR 2596 no pamatlīdz . Uz mazvērtīgo nvent. Un 3 965 EUR novirzīti uz māc. līdz.</t>
  </si>
  <si>
    <t>Neiegādāsimies nošu rakstīšanas programmu, lai segtu 100-gades prezentācijas izdevumu kontā 2314</t>
  </si>
  <si>
    <t xml:space="preserve"> Soda nauda par ugunsdrošības normatīvo aktu pārkāpumu </t>
  </si>
  <si>
    <t>EUR 17 000 finansējums mācību līdzekļiem un EUR 3 965 darba burtnīcām pārcelts no grāmatām, iekšējas kor.</t>
  </si>
  <si>
    <t>EUR 1 010 pārcelts no IKSP budžeta izglītojamo apbalvošanai ar naudas balvām; Iesniegums EUR 3 000 papildus finansēj. skolas 100-gadu jubilejas izdev. segšanai un iekšējas kor.</t>
  </si>
  <si>
    <t>EUR 250 pārcelts no IKSP budžeta izglītojamo apbalvošanai ar naudas balvām un  iesniegums- iztrūkstošos EUR 4 000 tualetes pielāgošanai personām ar īpašām vajadz. Un iekšējas korekc. EUR  1 620</t>
  </si>
  <si>
    <t>EUR 5 500 finansējums mācību līdzekļiem;  EUR 6 500 parcelts uz mazvērtīgo inventāru no pamatlīdzekļiem</t>
  </si>
  <si>
    <t>Psihologu konsultācijas pārcelts no pakalpojumiem</t>
  </si>
  <si>
    <t>Pārcelts uz mazvērtīgo inventāru</t>
  </si>
  <si>
    <t>EUR 3990 no pamatlīdzekļiem uz mazvērtīgo invent. Un EUR 2 000 no transporta pakalpojumiem uz materiāliem</t>
  </si>
  <si>
    <t>Pārcelts no remontdarbiem un  pakalpoj. uz kapitālo remontu</t>
  </si>
  <si>
    <t>Pārcelts no prezentācijas mater. uz kapit. remontu</t>
  </si>
  <si>
    <t>Pabalstos iztērēta lielāka summa</t>
  </si>
  <si>
    <t>Pārcelts uz pabalstiem</t>
  </si>
  <si>
    <t>EUR 1 936 finansējums mācību līdzekļiem un no pamatlīdzekļiem pārcelts uz mazvērtīgo inventāru sakarā ar vērtības maiņu</t>
  </si>
  <si>
    <t>Pārcelts no pamatlīdzekļiem uz remontdarbiem un uzturēšanas pakalpojumiem</t>
  </si>
  <si>
    <t>Pārcelts uz inventāra iegādi un mācību līdzekļiem papildus</t>
  </si>
  <si>
    <t>EUR 2 895 finansējums mācību līdzekļiem un EUR 2 350 no pašu līdzekļiem papildus mācību līdzekļiem; EUR 3 500 no pamatlīdzekļiem un EUR 1400 papildus inventāra iegādei grupām-bērnu galdiem un krēsliem</t>
  </si>
  <si>
    <t>Pārcelts no pamatlīdzekļiem uz mazvērtīgo inventāru sakarā ar vērtības maiņu</t>
  </si>
  <si>
    <t>EUR 2 019 finansējums mācību līdzekļiem; EUR 4 275 iesnieg. par solu, galdu, tāfeļu un datoru iegādi sakarā ar trīs jaunu klašu izveidi (skolēnu skaita pieaug.); EUR 1 936 pāriet uz pakalpojumiem remontdarbiem</t>
  </si>
  <si>
    <t>EUR 740 pārcelts no IKSP budžeta izglītojamo apbalvošanai ar naudas balvām; pārējais no pakalpojumiem un pamatlīdzekļiem novirzīts uz remontdarbiem</t>
  </si>
  <si>
    <t xml:space="preserve"> Vienošanās EUR 1 072 pārcelti uz Suntažu pag. un EUR 339 uz Krapes pag. par transporta izmantošanu sportistu pārvadāšanai un pārējais pārcelts uz komandējumu izdevumiem un sociālām iemaksām, kā arī pamatlīdzekļiem</t>
  </si>
  <si>
    <t>B-ba "Latvijas Sporta izglītības Direktoru padome " Jaunatnes sporta fonds piešķir Ogres Sporta centram par 2018.g. (sportistei L. Opola)</t>
  </si>
  <si>
    <t>B-ba "Latvijas Futbola federācija" piešķir Ogres Sporta centram par 2018.g.  EUR 5000 un 2019.g. EUR 5000</t>
  </si>
  <si>
    <t>LM finansējums asistenta pakalpojuma nodrošināšanai soc.dienestam</t>
  </si>
  <si>
    <t>No LM Mērķdotācija soc. dienesta pab. audžuģimenēm un bāreņiem</t>
  </si>
  <si>
    <t>Kods 21.3.9.0. "Ieņēmumi par pārējiem budžeta iestāžu maksas pakalpojumiem"</t>
  </si>
  <si>
    <t>Pārcelts no pakalpojumiem uz prezentācijas materiāliem jaunatnes olimpiādē un sporta laureātu pasākumā</t>
  </si>
  <si>
    <t>Ieņēmumi EUR 3 045 no LR Zemessardze -finansēj. Zemessardzes vasaras 28.sporta spēles Madlienas pag. organizēšanai, bet ir EUR 142 lielākas izmaksas sporta spēlēs nekā ieplānots un arī iekšējas korekcijas</t>
  </si>
  <si>
    <t>Pārcelts uz pakalpojumu kodu, jo vairums pakalpojumu sniedzēji un sadarbības partneri šajā gadā vairums reģistrējušies VID kā saimnieciskās darbības veicēji</t>
  </si>
  <si>
    <t>Organizējot un vadot pasākumus, kancelejas preces nav nepieciešamas tik daudz, bet ļoti nepieciešama biroja aparatūra</t>
  </si>
  <si>
    <t>LAD projekts Tirgus laukuma izbūve Suntažos</t>
  </si>
  <si>
    <t xml:space="preserve">Projekts tiks īstenots 2019. un 2020.gadā. 2019.gadā tiks izbūvēta laukuma 1.kārta attiecinamo izmaksu apmērā </t>
  </si>
  <si>
    <t>Software "aSc Timetables" pārcēla no pamatlīdz.</t>
  </si>
  <si>
    <t>Baltijas jūras sadarbības programmas projekts NOAH</t>
  </si>
  <si>
    <t xml:space="preserve">     Grants ceļu bez cietā seguma posmu pārbūve Ogres novadā</t>
  </si>
  <si>
    <t>Projekts tiks īstenots 2019. un 2020.gadā attiecināmo izmaksu apjomā 1 138 807 EUR. 2019.gadā tiks apgūti 1 062 403.78 EUR, no kuriem no pašvaldības budžetā jāfinansē neattiecināmās izmaksas 11802.95 EUR apmērā.</t>
  </si>
  <si>
    <t>Pamatlīdzekļu izveidošana</t>
  </si>
  <si>
    <t>Bibliotēkas būvprojekta, būvekspertīzes izstrādei un demontāžai 213 700 EUR plānoti no budžeta pozīcijas "dzelzceļa tunelis". ~211480 EUR plānoti no OBIC ēkas pārdošanas.</t>
  </si>
  <si>
    <t>Papildus izdevumi - Upes 16 fasādes apgaismošana u.c.</t>
  </si>
  <si>
    <t>Lielās zāles atjaunošana Ogres kultūras centrā</t>
  </si>
  <si>
    <t>LAD projekts "Ogresgala Tautas nama laukuma labiekārtošana" Nr.19-04-AL02-A019.2202-000006.</t>
  </si>
  <si>
    <t>08.29022</t>
  </si>
  <si>
    <t>Jauns projekts 2019. un 2020.gadam. Kopējā izmaksu summa - 53 874,98 EUR. 2019.gadā par 21 384,25 EUR tiks projektēta brīvdabas skatuve un gājēju celiņš un ja paspēs uzbūvēta skatuve. Plānots LAD avanss 1800 EUR.</t>
  </si>
  <si>
    <t>Projekts Karjeras atbalsts vispārējās un profesionālās izglītības iestādēs Funkcija 09.82001</t>
  </si>
  <si>
    <t>Pārskaitīts Suntažu pagasta pārvaldei</t>
  </si>
  <si>
    <t>No projekta tiks saņemts avanss, precizēts atalgojums jaunam mācību gadam projekta ietvaros.</t>
  </si>
  <si>
    <t>Valsts budžeta programmas "Latvijas Skolas soma" īstenošanai</t>
  </si>
  <si>
    <t>Erasmus+programmas projekts "ALLready a Success to School Life" (Pilnībā gatavs veiksmei skolā) Nr.2018-1-TR01-KA201-059716.Sākumsk.</t>
  </si>
  <si>
    <t>09.82011</t>
  </si>
  <si>
    <t>Jauns projekts</t>
  </si>
  <si>
    <t>Projekts realizēts, finansējuma samazinājums</t>
  </si>
  <si>
    <t>Erasmus+programmas projekts NR.2017-1-DE03-KA219-035723_4, (1.vsk.) 21. gadsimta globalizācijas un ilgtspējības izaicinājumi</t>
  </si>
  <si>
    <t>Erasmus programmas projekts Kipra "Digitālās kompetences darba tirgū jauniešiem ar ierobežotām iespējām" Nr.2017-1-DE04-KA205-015273</t>
  </si>
  <si>
    <t>Projekta finansējuma palielinājums</t>
  </si>
  <si>
    <t>ES projekts ''Profesionāla sociālā darba attīstība pašvaldībās'' Nr.9.2.1.1/15/1/001.</t>
  </si>
  <si>
    <t>Sociālo pakalpojumu atbalsta sistēmas pilnveide projekta (GRT) Nr.9.2.2.2/16/I/001.</t>
  </si>
  <si>
    <t>10.70011</t>
  </si>
  <si>
    <t>“Deinstitucionalizācija un sociālie pakalpojumi personām ar invaliditāti un bērniem”. Projekta identifikācijas Nr.9.2.2.1./15/I/002</t>
  </si>
  <si>
    <r>
      <t>Kods 17.2.0.0.</t>
    </r>
    <r>
      <rPr>
        <i/>
        <sz val="14"/>
        <rFont val="Times New Roman"/>
        <family val="1"/>
      </rPr>
      <t xml:space="preserve"> Pašvaldību saņemtie transferti no valsts budžeta daļēji finansētām atvasinātām publiskām personām un no budžeta nefinansētām iestādēm</t>
    </r>
  </si>
  <si>
    <t>Mūzikas skolai pedagogu darba samaksai un soc.apdr.iem.</t>
  </si>
  <si>
    <t>Mākslas skolai pedagogu darba samaksai un soc.apdr.iem.</t>
  </si>
  <si>
    <t>Pārcelts no pamatlīdz. uz mazvērtīgo inventāru sakarā ar pamatlīdz. uzskaites vērtības maiņu</t>
  </si>
  <si>
    <t>EUR 1 955 finansējums mācību līdzekļiem; EUR 8 819 no pamatlīdzekļiem un iekšējas korekcijas; EUR 4 567 pārcelts uz remontdarbiem</t>
  </si>
  <si>
    <t>Pārcelts uz remontdarbiem</t>
  </si>
  <si>
    <t>EUR 4 547 pārcelts no materiāliem un līgumdarbiem, jo piesaistot būvdarbiem projektu, arhitekta pakalpojumus un sertificēta būvuzrauga pakalpojumus, remontdarbu summa pārsniedza plānoto un iekšējas korekcijas</t>
  </si>
  <si>
    <t>Līgumdarbs pārcelts uz pakalpojumiem- dziesmu svētku tērpu šūšanai</t>
  </si>
  <si>
    <t>Papildus soc. pakalpojumu apmaksai</t>
  </si>
  <si>
    <t>Ieņēmumi no NĪ izsoles</t>
  </si>
  <si>
    <t>VienošanāsVTP Madliena ar Suntažu pag. par transporta izmantošanu</t>
  </si>
  <si>
    <t>No 2018. g. naudas dāvanas no novada Meņģeles un Taurupes skolām jubilejās</t>
  </si>
  <si>
    <t>Atkritumu savākšana</t>
  </si>
  <si>
    <t>Pārcelts uz pašvaldības 06.60012 labiekārt. funkc. EUR 22 731 Skatuves platformas izbūvei Krasta ielā un EUR 8 522  laipas un enkuru izbūvei, uzstādīšanai; Papildus EUR 11 970 apsardze un apkure Gaismas 2/6, EUR 419 pakalpojumi pašvald. Iestādēm, EUR 26 Mālkalnes 10 komun. pakalp. segš. EUR 1515 peldošās platformas uzturēš.</t>
  </si>
  <si>
    <t>Pielikumā PA "Ogres komunikācijas" budž. korekc.</t>
  </si>
  <si>
    <t>Pielikumā PA "Ogres komunikācijas" budž. korekc.(Transportlīdzekļu uzturēšana un iegāde)</t>
  </si>
  <si>
    <t xml:space="preserve">Papildus izdevumi </t>
  </si>
  <si>
    <t>Pielikumā PA "Ogres komunikācijas" budž. korekc. (Iekārtu, inventāra apkope, remonts)</t>
  </si>
  <si>
    <t>Pielikumā PA "Ogres komunikācijas" budž. korekc. (Rekonstrukciju darbi)</t>
  </si>
  <si>
    <t>Kapu uzturēšana, atkritumu sakopšana, koku celmu savākšana</t>
  </si>
  <si>
    <t>Erasmus + programmas projekts gadsimta globalizācija 1.vsk. 2017-1-DE03-KA219-035723-4</t>
  </si>
  <si>
    <t>Iesniegums par papildus līdzekļiem EUR 31 328</t>
  </si>
  <si>
    <t xml:space="preserve"> Plāna precizējums EUR 5418 samazināti ieņēm. un EUR 179  aizskaitīti atpakaļ neiztērētie līdzekļi</t>
  </si>
  <si>
    <t>ERASMUS programmas stratēģisko skolu sadarbības partnerību projekts 2016-1-IT02-KA219-024226-3 (Itālija, Ģimnāzija)</t>
  </si>
  <si>
    <t xml:space="preserve">Projekts realizēts, precizēts projekta finansējums </t>
  </si>
  <si>
    <t>Projekts realizēts, precizēts finansējums</t>
  </si>
  <si>
    <t xml:space="preserve">Projekts realizēts, precizēts finansējums </t>
  </si>
  <si>
    <t>Kompensācija par mantiskajiem zaudējumiem D.G.</t>
  </si>
  <si>
    <t xml:space="preserve">EUR 3 425 neizmantotā finansējuma atmaksa par 2018. g. Skolas soma; EUR 3101 neizlietotā finansējuma atmaksa mērķdotāciās 2018.g pašv. soc. darbin., kuri strādā ar ģimenēm un bērniem; EUR 383 atgriezta mērķdotācija pašvaldību mākslas kolektīvu vadītāju darba samaksai un soc.apdr.iem.; EUR 179 atgriezts finansējums Eiropas Parlamenta vēlēšanu nodrošināšanai </t>
  </si>
  <si>
    <t>Izvērtēta faktiskā nepieciešamība un iesniegums no pašvaldības policijas par papildus finansējumu</t>
  </si>
  <si>
    <t>Novadnieka kartes kā materiāls</t>
  </si>
  <si>
    <t>Suntažu tirgus laukuma izveide (LAD)</t>
  </si>
  <si>
    <t>Iesniegums - EUR 2067 papildus PVN izmaksas Ielu reģistra un kartogrāfiskās pārvaldīšanas sistēmas e-celi.lv datu aktualizācija Ogres pilsētā un Ogresgalā un EUR 19 196 no uzturēšanas izmaksām pārcelti uz kapitālo remontu.</t>
  </si>
  <si>
    <t>LAD projekts "Grants ceļu bez cietā seguma posmu pārbūve Ogres novadā" II kārta</t>
  </si>
  <si>
    <t>Pielikumā PA ONKC budžeta korekcijas</t>
  </si>
  <si>
    <t>Precizēts finansējums</t>
  </si>
  <si>
    <t>Savstarpējā vienošanās par ēdināšanas pakalpojumiem</t>
  </si>
  <si>
    <t>EUR 73 000 samazināts finansējums, jo novirzīts lielās zāles krēslu iegādei (netika piešķirts kredīts un EUR 13 788 mērķdotācija tautas mākslas kolektīvu vadītāju darba samaksai un VSAOI</t>
  </si>
  <si>
    <t xml:space="preserve">Parka ielas pārbūve </t>
  </si>
  <si>
    <t>EUR 29288 pārcelts uz kapitāliem izdev. Dullā Daukas birzs stāvlauk. izveide; lēmuma ietvaros EUR 10 962 Plāteres pilskalnā remontdarbi; EUR 720 skulptūras pie līkā tilta atjaunošanai; EUR 7260 Papeļu ciršanai un celmu frēzēšanai pie Cimupes veloceliņa; EUR 29 122 samazināti izdevumi Garāžas ēkas nojaukšanai un teritorijas rekultivācijai Upes 16; EUR 833 samazināti izdevumi Šķūņa demontāžai Tirgoņu ielā 9A, Ogre</t>
  </si>
  <si>
    <r>
      <t>Ņemot vērā, ka Fonds atbalstīja nevis plānotos 50 000 EUR, bet 38 500 EUR, projekta rezultātu sasniegšanai nepieciešam</t>
    </r>
    <r>
      <rPr>
        <sz val="11"/>
        <rFont val="Times New Roman Baltic"/>
        <family val="0"/>
      </rPr>
      <t>i papildus 7 800 EUR</t>
    </r>
    <r>
      <rPr>
        <sz val="11"/>
        <rFont val="Times New Roman Baltic"/>
        <family val="1"/>
      </rPr>
      <t xml:space="preserve"> no pašvaldības budžeta 06.60012</t>
    </r>
  </si>
  <si>
    <t>Lēmuma ietvaros EUR 824 soli Plāteres pilskalnā; EUR 720 pārcelts uz pakalpojumiem skulptūras atjaunošanai; EUR 1000 projektam"Pašvaldību darbi parkos"</t>
  </si>
  <si>
    <t>Finansējums projektam "Pašvaldību darbi parkos"</t>
  </si>
  <si>
    <t>Nebija iespējams veikt pārbūvi, jo nebija iespējas saņemt kredītu</t>
  </si>
  <si>
    <t>Pārvada šķērsojums pār dzelzceļu Kalna prospektā, Ogrē</t>
  </si>
  <si>
    <t xml:space="preserve">Netika piešķirts kredīts un no KC priekš lielās zāles krēsliem. </t>
  </si>
  <si>
    <t>Netika piešķirts kredīts neattiecināmajām izmaksām</t>
  </si>
  <si>
    <t>EUR 5 000 finansējums no LFF sporta inventāra iegādei  un EUR 4 511 sporta tērpu iegādei</t>
  </si>
  <si>
    <t>Iekšējas korekcijas. Pārcelts no pakalpojumiem printerim, kopētājam papildus līdzekļi</t>
  </si>
  <si>
    <t>Sociālais dienests par Upes 16 komunālajiem maksājumiem rekonstrukcijas laikā</t>
  </si>
  <si>
    <t>No vispārējiem ieņēmumiem līdzekļi sociālajiem pabalstiem</t>
  </si>
  <si>
    <t>Projekts realizēts, precizēti izdevumi</t>
  </si>
  <si>
    <r>
      <t xml:space="preserve">Informācija par Ogres novada pamatbudžeta transferta maksājumiem, kādiem jābūt </t>
    </r>
    <r>
      <rPr>
        <b/>
        <sz val="10"/>
        <rFont val="Arial"/>
        <family val="2"/>
      </rPr>
      <t>plānotajā 2019.gada oktobra budžeta grozījumos</t>
    </r>
    <r>
      <rPr>
        <sz val="10"/>
        <rFont val="Arial"/>
        <family val="0"/>
      </rPr>
      <t>.</t>
    </r>
  </si>
  <si>
    <t>Koriģētā mērķd.speciālajā gr.</t>
  </si>
  <si>
    <t>2019.g. mērķdotācija Suntažu internātskolas finansēšanai un līdz 5 gadu vecumam PII "Zelta sietiņš" speciālajā grupā</t>
  </si>
  <si>
    <t>Pamata un vispārējās izglītības iestāžu pedagogu darba samaksai un soc.apdr.iem.</t>
  </si>
  <si>
    <t>Interešu izglītības iestāžu pedagogu darba samaksi un soc.apdr.iem.</t>
  </si>
  <si>
    <t>Izglītības iestāžu 5-6 gadīgo bērnu apmācības pedagogu darba samaksai un soc.apdr.iem.</t>
  </si>
  <si>
    <t>Pieaudzis bērnu skaits, kuri izmanto privāto izglītības iestāžu un aukļu pakalpojumus</t>
  </si>
  <si>
    <t>Pārcelts uz privāto izglītības iestāžu pakalpojumiem</t>
  </si>
  <si>
    <t xml:space="preserve">Finansējums EUR 5800 no Latvijas futbola federācijas </t>
  </si>
  <si>
    <t>EUR 9 600 pārcelts no 08.3101 funkcijas TV, filmas "Ceļojums uz Ogri" uzņemšanai, EUR 1 600 Kabīne fotogrāfiju uzņemšanai iedzīvotājiem pilsētas svētku ietvaros un iekšējas korekcijas</t>
  </si>
  <si>
    <t>Šogad netiks piesaistīti kredītresursi</t>
  </si>
  <si>
    <t>Samazināti piesaistītie kredītresursi</t>
  </si>
  <si>
    <t>Precizēta summa</t>
  </si>
  <si>
    <t>Kapsētu informācijas digitalizācijai un datu pārvaldības sistēmas ieviešanai</t>
  </si>
  <si>
    <t xml:space="preserve">Nekustamā īpašuma nodoklis par mājokļiem </t>
  </si>
  <si>
    <t>No remontdarbiem pārcelts uz pamatlīdz., jo garderobes remontā iekļauto elektrisko žāvējamo skapju uzstādīšana ir kā pamatlīdz.</t>
  </si>
  <si>
    <t xml:space="preserve">No remontdarbiem </t>
  </si>
  <si>
    <t>Lēmums EUR 1 621 pārcelts no finansējuma peldbaseinam "Neptūns" uz " Komandas vai individ. sacensību atbalstam" budžetu biedrībai "Peldēšanas klubs "Ogre""; Iesniegums EUR 40 000 B-ba "Ogres basketbola klubs" lūdz finansējumu, Sporta attīstības konsultat. komisijas ziņojums</t>
  </si>
  <si>
    <t>Papildus EUR 1090 -neieplānotajiem īpašuma apdrošināšanas izdevumi, EUR 530 pārcelts no IKSP budžeta izglītojamo apbalvošanai ar nauda sbalvām</t>
  </si>
  <si>
    <t xml:space="preserve"> Madl. pans.</t>
  </si>
  <si>
    <t>06.60018</t>
  </si>
  <si>
    <t xml:space="preserve">      Dabas un izziņu parka "Latvijas pagastu ozolu birzs" izveide Madlienā.</t>
  </si>
  <si>
    <t>EUR 454 pārcelts no projektu pieteikumu funkcijas</t>
  </si>
  <si>
    <t>1572.00 EUR pārcelts uz LAD projektu Sajūtu un brīvā laika pavadīšanas dārzs (būvuzraudzība, PVN galdiem, soliem). 2375 EUR  pārcelts uz 06.60012 (Skvēra Liepu vainagu zāģēšana, ozolu sakņu revitalizācija); EUR 454 pārcelts uz uz proj. 06.60016 Publiski pieejamās ūdens apmetnes vietas</t>
  </si>
  <si>
    <t xml:space="preserve">Pārcelts no remontdarbiem apkures sist. un ūdensvada nomaiņa </t>
  </si>
  <si>
    <t>pārcelts uz kapitālo remontu apkures sist. un ūdensvada nomaiņa</t>
  </si>
  <si>
    <t>03.6001</t>
  </si>
  <si>
    <t>EUR 599 iesnieg. Jumta remontam; EUR 450 atkritumu izvešana un EUR 199 krāvēju pakalpoj., EUR 538 loga nomaiņai, EUR 990 apkures rem., EUR 462 gaismekļu uzstādīšanai ap ēku</t>
  </si>
  <si>
    <t>Budžeta nodaļas vadītāja                          S. Velberga</t>
  </si>
  <si>
    <t>Lēmums - no izdev nepar. gadīj. EUR 1 200 zemes vienības Kalēju ielā iegādei izmantojot pirmprkuma tiesības</t>
  </si>
  <si>
    <t>Iesniegums EUR 10 958 elektroapgādes būvprojekta izstrādei un būvdarbu izmaksu aprēķinam un EUR 14 259 elektroapgaismes izbūvei</t>
  </si>
  <si>
    <t>Lēmums - no izdev nepar. gadīj. Jauns projekts, pašvaldības līdzfinansēj. EUR 847, kopējās izmaksas EUR 8 470, realizācijas termiņš 2020.g. 31. maijs (projekta fin. EUR 7 623)</t>
  </si>
  <si>
    <t>Lēmums EUR -1 621 pārcelt uz Komandas vai individ. sacensību atbalstam budžetu biedrībai "Peldēšanas klubs "Ogre", EUR 3460 pašv. iest. uztur segš., EUR -19 917 lietus kanaliz. remontdarbiem; EUR -11 970 uz Gaismas 2/6 apsardzi, apkuri un EUR -1515 pārcelts uz peldošās platformas ekspluatācijas izdev.</t>
  </si>
  <si>
    <t>Lēmums no līdz. nepar. gadīj. EUR 240 000 nekust. īpaš. Zvaigžņu 4 iegāde</t>
  </si>
  <si>
    <t>Lēmums no izdev. nepar. gadīj. EUR 1 000 dalībai dziesmu un deju svētkos Kanādā; EUR 580 foto klubam "Ogre"semināra "Egona Spura ceļš" organizēšanai un iekšējas korekcijas</t>
  </si>
  <si>
    <t>Lēmums no izdev. nepar. gadīj. EUR 69 399 iepirkuma rezultātā papildus nepieciešami līdzekļi</t>
  </si>
  <si>
    <t>Lēmums no izdev. nepar. gadīj. EUR 2 987 griestu un sienas remontam (avārijas situāc.) un iekšējas korekc.-neplānoti izdevumi sakarā ar gāzes noplūdes detektora maiņu</t>
  </si>
  <si>
    <t>EUR 2 594 Pārcelts uz pamtlīdzekļiem printerim, kopētājam un Iesnieg. EUR 4 012 papildus siltumtrases avārijas darbu novēršanai</t>
  </si>
  <si>
    <t>Lēmums no izdev. nepar. gadīj. EUR 2 000 atbalsts ģimenei, kura ugunsgrēkā zaudējusi dzīvojamo māju; ieņēmumi mērķdotācija no LM 14 948 EUR; izdevumi pārcelti Krapei un Ķeipenei EUR 9986</t>
  </si>
  <si>
    <t xml:space="preserve">Sociālais dienests (par klientu maksāj. par pusdienām) </t>
  </si>
  <si>
    <t>Lēmums - no izdev nepar. gadīj. EUR 13 265 Plāteres pilskalna remontdarbu veikšanai (rem. 10 962+soli 824+galds 1 479 EUR)</t>
  </si>
  <si>
    <t>Lēmums - no izdev nepar. gadīj. EUR 29 720 īpašuma Zvaigžņu ielā 4 remontdarbiem; Pārcelts no PA Ogres komunikācijas deleģ. funkcijām EUR 22 731 Skatuves platformas izbūvei Krasta ielā un EUR 8 521 laipas un enkuru izbūvei, uzstādīšanai; Iesniegums EUR 894 papildus remontiem Zvaigžņu ielā 4, EUR 29 288 pārcelts no pakalpojumiem; Lēmuma ietvaros EUR 1 479 galds Plāteres pilskalnā; EUR 13500 samazināti izdevumi domes kāpņu pārbūvei</t>
  </si>
  <si>
    <t>7700</t>
  </si>
  <si>
    <t>Pārējie pārskaitījumi ārvalstīm</t>
  </si>
  <si>
    <t>Ogres novada pašvaldības domes</t>
  </si>
  <si>
    <t>Suntažu pamatskola - rehabilitācijas centrs</t>
  </si>
  <si>
    <t>17.10.2019. Saistošajiem noteikumiem Nr.16/2019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</si>
</sst>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7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3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 Baltic"/>
      <family val="1"/>
    </font>
    <font>
      <b/>
      <sz val="11"/>
      <color indexed="30"/>
      <name val="Times New Roman"/>
      <family val="1"/>
    </font>
    <font>
      <b/>
      <sz val="11"/>
      <color indexed="12"/>
      <name val="Times New Roman"/>
      <family val="1"/>
    </font>
    <font>
      <i/>
      <sz val="11"/>
      <name val="Times New Roman"/>
      <family val="1"/>
    </font>
    <font>
      <sz val="10"/>
      <name val="Times New Roman Baltic"/>
      <family val="0"/>
    </font>
    <font>
      <b/>
      <i/>
      <sz val="11"/>
      <name val="Times New Roman Baltic"/>
      <family val="0"/>
    </font>
    <font>
      <b/>
      <i/>
      <sz val="10"/>
      <name val="Times New Roman Baltic"/>
      <family val="0"/>
    </font>
    <font>
      <b/>
      <sz val="11"/>
      <name val="Times New Roman Baltic"/>
      <family val="1"/>
    </font>
    <font>
      <i/>
      <sz val="11"/>
      <name val="Times New Roman Baltic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30"/>
      <name val="Times New Roman"/>
      <family val="1"/>
    </font>
    <font>
      <sz val="12"/>
      <color indexed="8"/>
      <name val="Times New Roman"/>
      <family val="1"/>
    </font>
    <font>
      <b/>
      <sz val="11"/>
      <color indexed="62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3" tint="0.3999800086021423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8F87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193" fontId="0" fillId="0" borderId="0" xfId="0" applyNumberFormat="1" applyAlignment="1">
      <alignment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14" xfId="0" applyFont="1" applyBorder="1" applyAlignment="1">
      <alignment/>
    </xf>
    <xf numFmtId="3" fontId="9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9" fontId="0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3" fontId="9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33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9" fillId="0" borderId="14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1" fillId="0" borderId="13" xfId="0" applyFont="1" applyBorder="1" applyAlignment="1">
      <alignment wrapText="1"/>
    </xf>
    <xf numFmtId="3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5" fillId="0" borderId="0" xfId="0" applyFont="1" applyAlignment="1">
      <alignment horizontal="center" wrapText="1"/>
    </xf>
    <xf numFmtId="1" fontId="4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/>
    </xf>
    <xf numFmtId="202" fontId="0" fillId="0" borderId="0" xfId="0" applyNumberFormat="1" applyAlignment="1">
      <alignment/>
    </xf>
    <xf numFmtId="1" fontId="5" fillId="0" borderId="17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0" fontId="30" fillId="0" borderId="14" xfId="0" applyFont="1" applyBorder="1" applyAlignment="1">
      <alignment wrapText="1"/>
    </xf>
    <xf numFmtId="0" fontId="3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34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3" fontId="9" fillId="0" borderId="18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19" xfId="60" applyFont="1" applyBorder="1" applyAlignment="1">
      <alignment horizontal="center" vertical="center" wrapText="1"/>
      <protection/>
    </xf>
    <xf numFmtId="3" fontId="9" fillId="24" borderId="14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right" wrapText="1"/>
    </xf>
    <xf numFmtId="3" fontId="34" fillId="0" borderId="14" xfId="0" applyNumberFormat="1" applyFont="1" applyBorder="1" applyAlignment="1">
      <alignment/>
    </xf>
    <xf numFmtId="0" fontId="9" fillId="0" borderId="16" xfId="58" applyFont="1" applyBorder="1" applyAlignment="1">
      <alignment horizontal="left" wrapText="1"/>
      <protection/>
    </xf>
    <xf numFmtId="0" fontId="9" fillId="0" borderId="20" xfId="58" applyFont="1" applyBorder="1" applyAlignment="1">
      <alignment horizontal="left" wrapText="1"/>
      <protection/>
    </xf>
    <xf numFmtId="0" fontId="9" fillId="0" borderId="14" xfId="58" applyFont="1" applyBorder="1" applyAlignment="1">
      <alignment horizontal="left" vertical="center" wrapText="1"/>
      <protection/>
    </xf>
    <xf numFmtId="0" fontId="9" fillId="0" borderId="14" xfId="58" applyFont="1" applyBorder="1" applyAlignment="1">
      <alignment horizontal="left" wrapText="1"/>
      <protection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2" xfId="0" applyFont="1" applyBorder="1" applyAlignment="1">
      <alignment/>
    </xf>
    <xf numFmtId="1" fontId="5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6" xfId="0" applyFont="1" applyBorder="1" applyAlignment="1">
      <alignment/>
    </xf>
    <xf numFmtId="1" fontId="5" fillId="0" borderId="25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" fontId="5" fillId="0" borderId="29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0" fontId="0" fillId="0" borderId="30" xfId="0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9" fillId="0" borderId="33" xfId="58" applyFont="1" applyBorder="1" applyAlignment="1">
      <alignment horizontal="left" wrapText="1"/>
      <protection/>
    </xf>
    <xf numFmtId="0" fontId="9" fillId="0" borderId="34" xfId="58" applyFont="1" applyBorder="1" applyAlignment="1">
      <alignment horizontal="left" wrapText="1"/>
      <protection/>
    </xf>
    <xf numFmtId="3" fontId="10" fillId="0" borderId="0" xfId="0" applyNumberFormat="1" applyFont="1" applyAlignment="1">
      <alignment horizontal="right"/>
    </xf>
    <xf numFmtId="3" fontId="42" fillId="0" borderId="14" xfId="0" applyNumberFormat="1" applyFont="1" applyBorder="1" applyAlignment="1">
      <alignment/>
    </xf>
    <xf numFmtId="0" fontId="9" fillId="0" borderId="18" xfId="58" applyFont="1" applyBorder="1" applyAlignment="1">
      <alignment horizontal="left" wrapText="1"/>
      <protection/>
    </xf>
    <xf numFmtId="0" fontId="0" fillId="0" borderId="35" xfId="0" applyBorder="1" applyAlignment="1">
      <alignment/>
    </xf>
    <xf numFmtId="0" fontId="41" fillId="0" borderId="14" xfId="0" applyFont="1" applyBorder="1" applyAlignment="1">
      <alignment horizontal="center" wrapText="1"/>
    </xf>
    <xf numFmtId="3" fontId="31" fillId="0" borderId="0" xfId="0" applyNumberFormat="1" applyFont="1" applyAlignment="1">
      <alignment/>
    </xf>
    <xf numFmtId="0" fontId="10" fillId="0" borderId="36" xfId="0" applyFont="1" applyBorder="1" applyAlignment="1">
      <alignment/>
    </xf>
    <xf numFmtId="1" fontId="10" fillId="0" borderId="36" xfId="0" applyNumberFormat="1" applyFont="1" applyBorder="1" applyAlignment="1">
      <alignment/>
    </xf>
    <xf numFmtId="0" fontId="61" fillId="0" borderId="0" xfId="0" applyFont="1" applyAlignment="1">
      <alignment/>
    </xf>
    <xf numFmtId="0" fontId="0" fillId="0" borderId="18" xfId="0" applyFont="1" applyBorder="1" applyAlignment="1">
      <alignment/>
    </xf>
    <xf numFmtId="0" fontId="41" fillId="0" borderId="18" xfId="0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49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30" fillId="25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 horizontal="left" wrapText="1"/>
    </xf>
    <xf numFmtId="0" fontId="9" fillId="0" borderId="37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9" fillId="0" borderId="0" xfId="58" applyFont="1" applyAlignment="1">
      <alignment horizontal="left" wrapText="1"/>
      <protection/>
    </xf>
    <xf numFmtId="0" fontId="9" fillId="0" borderId="14" xfId="59" applyFont="1" applyBorder="1" applyAlignment="1">
      <alignment horizontal="left" wrapText="1"/>
      <protection/>
    </xf>
    <xf numFmtId="3" fontId="3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3" fontId="9" fillId="25" borderId="14" xfId="0" applyNumberFormat="1" applyFont="1" applyFill="1" applyBorder="1" applyAlignment="1">
      <alignment wrapText="1"/>
    </xf>
    <xf numFmtId="0" fontId="0" fillId="25" borderId="14" xfId="0" applyFill="1" applyBorder="1" applyAlignment="1">
      <alignment/>
    </xf>
    <xf numFmtId="3" fontId="44" fillId="0" borderId="14" xfId="0" applyNumberFormat="1" applyFont="1" applyBorder="1" applyAlignment="1">
      <alignment horizontal="right"/>
    </xf>
    <xf numFmtId="3" fontId="45" fillId="0" borderId="14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49" fontId="45" fillId="0" borderId="14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right"/>
    </xf>
    <xf numFmtId="0" fontId="45" fillId="0" borderId="14" xfId="0" applyFont="1" applyBorder="1" applyAlignment="1">
      <alignment horizontal="right" wrapText="1"/>
    </xf>
    <xf numFmtId="3" fontId="44" fillId="25" borderId="14" xfId="0" applyNumberFormat="1" applyFont="1" applyFill="1" applyBorder="1" applyAlignment="1">
      <alignment/>
    </xf>
    <xf numFmtId="0" fontId="48" fillId="0" borderId="14" xfId="0" applyFont="1" applyBorder="1" applyAlignment="1">
      <alignment horizontal="right"/>
    </xf>
    <xf numFmtId="49" fontId="48" fillId="0" borderId="14" xfId="0" applyNumberFormat="1" applyFont="1" applyBorder="1" applyAlignment="1">
      <alignment/>
    </xf>
    <xf numFmtId="2" fontId="48" fillId="0" borderId="14" xfId="0" applyNumberFormat="1" applyFont="1" applyBorder="1" applyAlignment="1">
      <alignment wrapText="1"/>
    </xf>
    <xf numFmtId="0" fontId="48" fillId="0" borderId="0" xfId="0" applyFont="1" applyAlignment="1">
      <alignment/>
    </xf>
    <xf numFmtId="3" fontId="44" fillId="0" borderId="14" xfId="0" applyNumberFormat="1" applyFont="1" applyBorder="1" applyAlignment="1">
      <alignment/>
    </xf>
    <xf numFmtId="0" fontId="62" fillId="0" borderId="14" xfId="0" applyFont="1" applyBorder="1" applyAlignment="1">
      <alignment horizontal="left"/>
    </xf>
    <xf numFmtId="3" fontId="49" fillId="0" borderId="14" xfId="0" applyNumberFormat="1" applyFont="1" applyBorder="1" applyAlignment="1">
      <alignment horizontal="right"/>
    </xf>
    <xf numFmtId="0" fontId="9" fillId="24" borderId="14" xfId="0" applyFont="1" applyFill="1" applyBorder="1" applyAlignment="1">
      <alignment wrapText="1"/>
    </xf>
    <xf numFmtId="0" fontId="9" fillId="0" borderId="14" xfId="0" applyFont="1" applyBorder="1" applyAlignment="1">
      <alignment horizontal="right" wrapText="1"/>
    </xf>
    <xf numFmtId="0" fontId="9" fillId="0" borderId="14" xfId="58" applyFont="1" applyBorder="1" applyAlignment="1">
      <alignment horizontal="right" wrapText="1"/>
      <protection/>
    </xf>
    <xf numFmtId="0" fontId="9" fillId="0" borderId="14" xfId="0" applyFont="1" applyBorder="1" applyAlignment="1">
      <alignment horizontal="left"/>
    </xf>
    <xf numFmtId="3" fontId="9" fillId="0" borderId="14" xfId="0" applyNumberFormat="1" applyFont="1" applyBorder="1" applyAlignment="1">
      <alignment horizontal="right"/>
    </xf>
    <xf numFmtId="49" fontId="9" fillId="0" borderId="0" xfId="0" applyNumberFormat="1" applyFont="1" applyAlignment="1">
      <alignment/>
    </xf>
    <xf numFmtId="0" fontId="31" fillId="0" borderId="14" xfId="0" applyFont="1" applyBorder="1" applyAlignment="1">
      <alignment horizontal="center"/>
    </xf>
    <xf numFmtId="49" fontId="31" fillId="0" borderId="14" xfId="0" applyNumberFormat="1" applyFont="1" applyBorder="1" applyAlignment="1">
      <alignment horizontal="center" wrapText="1"/>
    </xf>
    <xf numFmtId="3" fontId="31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3" fontId="10" fillId="4" borderId="14" xfId="0" applyNumberFormat="1" applyFont="1" applyFill="1" applyBorder="1" applyAlignment="1">
      <alignment horizontal="right"/>
    </xf>
    <xf numFmtId="0" fontId="9" fillId="0" borderId="14" xfId="0" applyFont="1" applyBorder="1" applyAlignment="1">
      <alignment wrapText="1"/>
    </xf>
    <xf numFmtId="3" fontId="50" fillId="0" borderId="14" xfId="0" applyNumberFormat="1" applyFont="1" applyBorder="1" applyAlignment="1">
      <alignment/>
    </xf>
    <xf numFmtId="3" fontId="10" fillId="4" borderId="14" xfId="0" applyNumberFormat="1" applyFont="1" applyFill="1" applyBorder="1" applyAlignment="1">
      <alignment/>
    </xf>
    <xf numFmtId="0" fontId="10" fillId="0" borderId="14" xfId="0" applyFont="1" applyBorder="1" applyAlignment="1">
      <alignment horizontal="right" wrapText="1"/>
    </xf>
    <xf numFmtId="3" fontId="10" fillId="26" borderId="14" xfId="0" applyNumberFormat="1" applyFont="1" applyFill="1" applyBorder="1" applyAlignment="1">
      <alignment/>
    </xf>
    <xf numFmtId="49" fontId="10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justify" vertical="center"/>
    </xf>
    <xf numFmtId="4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justify"/>
    </xf>
    <xf numFmtId="0" fontId="9" fillId="24" borderId="14" xfId="0" applyFont="1" applyFill="1" applyBorder="1" applyAlignment="1">
      <alignment horizontal="justify"/>
    </xf>
    <xf numFmtId="3" fontId="9" fillId="25" borderId="14" xfId="0" applyNumberFormat="1" applyFont="1" applyFill="1" applyBorder="1" applyAlignment="1">
      <alignment/>
    </xf>
    <xf numFmtId="0" fontId="9" fillId="25" borderId="14" xfId="0" applyFont="1" applyFill="1" applyBorder="1" applyAlignment="1">
      <alignment horizontal="right" wrapText="1"/>
    </xf>
    <xf numFmtId="49" fontId="9" fillId="25" borderId="14" xfId="0" applyNumberFormat="1" applyFont="1" applyFill="1" applyBorder="1" applyAlignment="1">
      <alignment/>
    </xf>
    <xf numFmtId="0" fontId="9" fillId="25" borderId="14" xfId="0" applyFont="1" applyFill="1" applyBorder="1" applyAlignment="1">
      <alignment/>
    </xf>
    <xf numFmtId="0" fontId="9" fillId="25" borderId="14" xfId="0" applyFont="1" applyFill="1" applyBorder="1" applyAlignment="1">
      <alignment wrapText="1"/>
    </xf>
    <xf numFmtId="0" fontId="9" fillId="25" borderId="0" xfId="0" applyFont="1" applyFill="1" applyAlignment="1">
      <alignment/>
    </xf>
    <xf numFmtId="49" fontId="9" fillId="25" borderId="14" xfId="0" applyNumberFormat="1" applyFont="1" applyFill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 horizontal="right" wrapText="1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 wrapText="1"/>
    </xf>
    <xf numFmtId="3" fontId="9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right" wrapText="1"/>
    </xf>
    <xf numFmtId="3" fontId="51" fillId="0" borderId="14" xfId="0" applyNumberFormat="1" applyFont="1" applyBorder="1" applyAlignment="1">
      <alignment horizontal="right"/>
    </xf>
    <xf numFmtId="0" fontId="9" fillId="0" borderId="0" xfId="62" applyFont="1" applyAlignment="1">
      <alignment horizontal="left"/>
      <protection/>
    </xf>
    <xf numFmtId="0" fontId="9" fillId="0" borderId="13" xfId="61" applyFont="1" applyBorder="1" applyAlignment="1">
      <alignment vertical="center" wrapText="1"/>
      <protection/>
    </xf>
    <xf numFmtId="0" fontId="9" fillId="0" borderId="21" xfId="61" applyFont="1" applyBorder="1" applyAlignment="1">
      <alignment vertical="center" wrapText="1"/>
      <protection/>
    </xf>
    <xf numFmtId="0" fontId="10" fillId="0" borderId="38" xfId="57" applyFont="1" applyBorder="1" applyAlignment="1">
      <alignment horizontal="center" vertical="center" wrapText="1"/>
      <protection/>
    </xf>
    <xf numFmtId="0" fontId="9" fillId="0" borderId="0" xfId="62" applyFont="1" applyAlignment="1">
      <alignment horizontal="right"/>
      <protection/>
    </xf>
    <xf numFmtId="0" fontId="9" fillId="0" borderId="0" xfId="57" applyFont="1" applyAlignment="1">
      <alignment horizontal="left" wrapText="1"/>
      <protection/>
    </xf>
    <xf numFmtId="1" fontId="1" fillId="0" borderId="39" xfId="0" applyNumberFormat="1" applyFont="1" applyBorder="1" applyAlignment="1">
      <alignment/>
    </xf>
    <xf numFmtId="0" fontId="63" fillId="0" borderId="14" xfId="0" applyFont="1" applyBorder="1" applyAlignment="1">
      <alignment wrapText="1"/>
    </xf>
    <xf numFmtId="3" fontId="64" fillId="0" borderId="14" xfId="0" applyNumberFormat="1" applyFont="1" applyBorder="1" applyAlignment="1">
      <alignment/>
    </xf>
    <xf numFmtId="3" fontId="63" fillId="0" borderId="14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48" fillId="25" borderId="14" xfId="0" applyFont="1" applyFill="1" applyBorder="1" applyAlignment="1">
      <alignment horizontal="right"/>
    </xf>
    <xf numFmtId="49" fontId="9" fillId="25" borderId="14" xfId="0" applyNumberFormat="1" applyFont="1" applyFill="1" applyBorder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65" fillId="0" borderId="14" xfId="0" applyNumberFormat="1" applyFont="1" applyBorder="1" applyAlignment="1">
      <alignment/>
    </xf>
    <xf numFmtId="3" fontId="62" fillId="0" borderId="14" xfId="0" applyNumberFormat="1" applyFont="1" applyBorder="1" applyAlignment="1">
      <alignment horizontal="left" wrapText="1"/>
    </xf>
    <xf numFmtId="3" fontId="45" fillId="0" borderId="14" xfId="0" applyNumberFormat="1" applyFont="1" applyBorder="1" applyAlignment="1">
      <alignment horizontal="right"/>
    </xf>
    <xf numFmtId="3" fontId="9" fillId="25" borderId="14" xfId="0" applyNumberFormat="1" applyFont="1" applyFill="1" applyBorder="1" applyAlignment="1">
      <alignment horizontal="right"/>
    </xf>
    <xf numFmtId="3" fontId="10" fillId="27" borderId="14" xfId="0" applyNumberFormat="1" applyFont="1" applyFill="1" applyBorder="1" applyAlignment="1">
      <alignment/>
    </xf>
    <xf numFmtId="0" fontId="9" fillId="0" borderId="0" xfId="65" applyFont="1">
      <alignment/>
      <protection/>
    </xf>
    <xf numFmtId="3" fontId="9" fillId="0" borderId="0" xfId="65" applyNumberFormat="1" applyFont="1" applyAlignment="1">
      <alignment wrapText="1"/>
      <protection/>
    </xf>
    <xf numFmtId="1" fontId="9" fillId="0" borderId="0" xfId="65" applyNumberFormat="1" applyFont="1">
      <alignment/>
      <protection/>
    </xf>
    <xf numFmtId="0" fontId="10" fillId="0" borderId="0" xfId="65" applyFont="1">
      <alignment/>
      <protection/>
    </xf>
    <xf numFmtId="0" fontId="9" fillId="0" borderId="0" xfId="65" applyFont="1" applyAlignment="1">
      <alignment horizontal="left"/>
      <protection/>
    </xf>
    <xf numFmtId="0" fontId="9" fillId="0" borderId="0" xfId="65" applyFont="1" applyAlignment="1">
      <alignment horizontal="left" wrapText="1"/>
      <protection/>
    </xf>
    <xf numFmtId="0" fontId="30" fillId="0" borderId="10" xfId="65" applyFont="1" applyBorder="1" applyAlignment="1">
      <alignment horizontal="center" vertical="center"/>
      <protection/>
    </xf>
    <xf numFmtId="0" fontId="30" fillId="0" borderId="13" xfId="65" applyFont="1" applyBorder="1" applyAlignment="1">
      <alignment horizontal="center" vertical="center" wrapText="1"/>
      <protection/>
    </xf>
    <xf numFmtId="0" fontId="9" fillId="0" borderId="13" xfId="65" applyFont="1" applyBorder="1" applyAlignment="1">
      <alignment horizontal="center" vertical="center" wrapText="1"/>
      <protection/>
    </xf>
    <xf numFmtId="3" fontId="9" fillId="0" borderId="13" xfId="65" applyNumberFormat="1" applyFont="1" applyBorder="1" applyAlignment="1">
      <alignment horizontal="center" vertical="center" wrapText="1"/>
      <protection/>
    </xf>
    <xf numFmtId="0" fontId="9" fillId="0" borderId="0" xfId="65" applyFont="1" applyAlignment="1">
      <alignment wrapText="1"/>
      <protection/>
    </xf>
    <xf numFmtId="0" fontId="10" fillId="0" borderId="10" xfId="65" applyFont="1" applyBorder="1" applyAlignment="1">
      <alignment horizontal="right"/>
      <protection/>
    </xf>
    <xf numFmtId="0" fontId="10" fillId="0" borderId="13" xfId="65" applyFont="1" applyBorder="1" applyAlignment="1">
      <alignment wrapText="1"/>
      <protection/>
    </xf>
    <xf numFmtId="3" fontId="10" fillId="0" borderId="13" xfId="65" applyNumberFormat="1" applyFont="1" applyBorder="1">
      <alignment/>
      <protection/>
    </xf>
    <xf numFmtId="3" fontId="10" fillId="0" borderId="21" xfId="65" applyNumberFormat="1" applyFont="1" applyBorder="1">
      <alignment/>
      <protection/>
    </xf>
    <xf numFmtId="3" fontId="10" fillId="0" borderId="38" xfId="65" applyNumberFormat="1" applyFont="1" applyBorder="1">
      <alignment/>
      <protection/>
    </xf>
    <xf numFmtId="3" fontId="9" fillId="0" borderId="0" xfId="65" applyNumberFormat="1" applyFont="1">
      <alignment/>
      <protection/>
    </xf>
    <xf numFmtId="0" fontId="9" fillId="0" borderId="12" xfId="65" applyFont="1" applyBorder="1" applyAlignment="1">
      <alignment horizontal="left"/>
      <protection/>
    </xf>
    <xf numFmtId="0" fontId="9" fillId="0" borderId="18" xfId="65" applyFont="1" applyBorder="1" applyAlignment="1">
      <alignment wrapText="1"/>
      <protection/>
    </xf>
    <xf numFmtId="3" fontId="9" fillId="0" borderId="18" xfId="65" applyNumberFormat="1" applyFont="1" applyBorder="1">
      <alignment/>
      <protection/>
    </xf>
    <xf numFmtId="3" fontId="9" fillId="0" borderId="40" xfId="65" applyNumberFormat="1" applyFont="1" applyBorder="1">
      <alignment/>
      <protection/>
    </xf>
    <xf numFmtId="3" fontId="10" fillId="0" borderId="41" xfId="65" applyNumberFormat="1" applyFont="1" applyBorder="1">
      <alignment/>
      <protection/>
    </xf>
    <xf numFmtId="0" fontId="9" fillId="0" borderId="42" xfId="65" applyFont="1" applyBorder="1" applyAlignment="1">
      <alignment horizontal="right"/>
      <protection/>
    </xf>
    <xf numFmtId="0" fontId="9" fillId="0" borderId="14" xfId="65" applyFont="1" applyBorder="1" applyAlignment="1">
      <alignment wrapText="1"/>
      <protection/>
    </xf>
    <xf numFmtId="3" fontId="9" fillId="0" borderId="14" xfId="65" applyNumberFormat="1" applyFont="1" applyBorder="1">
      <alignment/>
      <protection/>
    </xf>
    <xf numFmtId="3" fontId="9" fillId="25" borderId="14" xfId="65" applyNumberFormat="1" applyFont="1" applyFill="1" applyBorder="1">
      <alignment/>
      <protection/>
    </xf>
    <xf numFmtId="3" fontId="9" fillId="0" borderId="34" xfId="65" applyNumberFormat="1" applyFont="1" applyBorder="1">
      <alignment/>
      <protection/>
    </xf>
    <xf numFmtId="210" fontId="9" fillId="0" borderId="14" xfId="65" applyNumberFormat="1" applyFont="1" applyBorder="1">
      <alignment/>
      <protection/>
    </xf>
    <xf numFmtId="0" fontId="9" fillId="0" borderId="42" xfId="65" applyFont="1" applyBorder="1" applyAlignment="1">
      <alignment horizontal="left"/>
      <protection/>
    </xf>
    <xf numFmtId="3" fontId="9" fillId="0" borderId="37" xfId="65" applyNumberFormat="1" applyFont="1" applyBorder="1">
      <alignment/>
      <protection/>
    </xf>
    <xf numFmtId="3" fontId="9" fillId="25" borderId="37" xfId="65" applyNumberFormat="1" applyFont="1" applyFill="1" applyBorder="1">
      <alignment/>
      <protection/>
    </xf>
    <xf numFmtId="3" fontId="9" fillId="0" borderId="43" xfId="65" applyNumberFormat="1" applyFont="1" applyBorder="1">
      <alignment/>
      <protection/>
    </xf>
    <xf numFmtId="3" fontId="2" fillId="0" borderId="14" xfId="65" applyNumberFormat="1" applyFont="1" applyBorder="1">
      <alignment/>
      <protection/>
    </xf>
    <xf numFmtId="1" fontId="9" fillId="0" borderId="37" xfId="65" applyNumberFormat="1" applyFont="1" applyBorder="1">
      <alignment/>
      <protection/>
    </xf>
    <xf numFmtId="1" fontId="9" fillId="0" borderId="43" xfId="65" applyNumberFormat="1" applyFont="1" applyBorder="1">
      <alignment/>
      <protection/>
    </xf>
    <xf numFmtId="1" fontId="2" fillId="0" borderId="14" xfId="65" applyNumberFormat="1" applyFont="1" applyBorder="1">
      <alignment/>
      <protection/>
    </xf>
    <xf numFmtId="0" fontId="9" fillId="0" borderId="15" xfId="65" applyFont="1" applyBorder="1" applyAlignment="1">
      <alignment horizontal="left"/>
      <protection/>
    </xf>
    <xf numFmtId="0" fontId="9" fillId="0" borderId="16" xfId="65" applyFont="1" applyBorder="1" applyAlignment="1">
      <alignment wrapText="1"/>
      <protection/>
    </xf>
    <xf numFmtId="3" fontId="9" fillId="0" borderId="16" xfId="65" applyNumberFormat="1" applyFont="1" applyBorder="1">
      <alignment/>
      <protection/>
    </xf>
    <xf numFmtId="3" fontId="9" fillId="0" borderId="20" xfId="65" applyNumberFormat="1" applyFont="1" applyBorder="1">
      <alignment/>
      <protection/>
    </xf>
    <xf numFmtId="200" fontId="9" fillId="0" borderId="16" xfId="65" applyNumberFormat="1" applyFont="1" applyBorder="1">
      <alignment/>
      <protection/>
    </xf>
    <xf numFmtId="0" fontId="9" fillId="0" borderId="16" xfId="65" applyFont="1" applyBorder="1">
      <alignment/>
      <protection/>
    </xf>
    <xf numFmtId="0" fontId="9" fillId="0" borderId="20" xfId="65" applyFont="1" applyBorder="1">
      <alignment/>
      <protection/>
    </xf>
    <xf numFmtId="3" fontId="10" fillId="0" borderId="44" xfId="65" applyNumberFormat="1" applyFont="1" applyBorder="1">
      <alignment/>
      <protection/>
    </xf>
    <xf numFmtId="0" fontId="10" fillId="0" borderId="27" xfId="65" applyFont="1" applyBorder="1" applyAlignment="1">
      <alignment wrapText="1"/>
      <protection/>
    </xf>
    <xf numFmtId="3" fontId="10" fillId="0" borderId="27" xfId="65" applyNumberFormat="1" applyFont="1" applyBorder="1">
      <alignment/>
      <protection/>
    </xf>
    <xf numFmtId="3" fontId="9" fillId="25" borderId="27" xfId="65" applyNumberFormat="1" applyFont="1" applyFill="1" applyBorder="1">
      <alignment/>
      <protection/>
    </xf>
    <xf numFmtId="3" fontId="10" fillId="0" borderId="36" xfId="65" applyNumberFormat="1" applyFont="1" applyBorder="1">
      <alignment/>
      <protection/>
    </xf>
    <xf numFmtId="1" fontId="9" fillId="0" borderId="18" xfId="65" applyNumberFormat="1" applyFont="1" applyBorder="1">
      <alignment/>
      <protection/>
    </xf>
    <xf numFmtId="0" fontId="9" fillId="0" borderId="18" xfId="65" applyFont="1" applyBorder="1">
      <alignment/>
      <protection/>
    </xf>
    <xf numFmtId="0" fontId="9" fillId="0" borderId="40" xfId="65" applyFont="1" applyBorder="1">
      <alignment/>
      <protection/>
    </xf>
    <xf numFmtId="200" fontId="9" fillId="0" borderId="14" xfId="65" applyNumberFormat="1" applyFont="1" applyBorder="1">
      <alignment/>
      <protection/>
    </xf>
    <xf numFmtId="1" fontId="9" fillId="0" borderId="14" xfId="65" applyNumberFormat="1" applyFont="1" applyBorder="1">
      <alignment/>
      <protection/>
    </xf>
    <xf numFmtId="0" fontId="9" fillId="0" borderId="14" xfId="65" applyFont="1" applyBorder="1">
      <alignment/>
      <protection/>
    </xf>
    <xf numFmtId="0" fontId="9" fillId="0" borderId="34" xfId="65" applyFont="1" applyBorder="1">
      <alignment/>
      <protection/>
    </xf>
    <xf numFmtId="0" fontId="10" fillId="0" borderId="45" xfId="65" applyFont="1" applyBorder="1" applyAlignment="1">
      <alignment horizontal="left"/>
      <protection/>
    </xf>
    <xf numFmtId="0" fontId="10" fillId="0" borderId="0" xfId="65" applyFont="1" applyAlignment="1">
      <alignment wrapText="1"/>
      <protection/>
    </xf>
    <xf numFmtId="3" fontId="9" fillId="0" borderId="33" xfId="65" applyNumberFormat="1" applyFont="1" applyBorder="1">
      <alignment/>
      <protection/>
    </xf>
    <xf numFmtId="3" fontId="9" fillId="0" borderId="26" xfId="65" applyNumberFormat="1" applyFont="1" applyBorder="1">
      <alignment/>
      <protection/>
    </xf>
    <xf numFmtId="0" fontId="9" fillId="0" borderId="33" xfId="65" applyFont="1" applyBorder="1">
      <alignment/>
      <protection/>
    </xf>
    <xf numFmtId="0" fontId="10" fillId="0" borderId="10" xfId="65" applyFont="1" applyBorder="1" applyAlignment="1">
      <alignment horizontal="left"/>
      <protection/>
    </xf>
    <xf numFmtId="0" fontId="9" fillId="0" borderId="46" xfId="65" applyFont="1" applyBorder="1" applyAlignment="1">
      <alignment horizontal="left"/>
      <protection/>
    </xf>
    <xf numFmtId="0" fontId="9" fillId="0" borderId="27" xfId="65" applyFont="1" applyBorder="1" applyAlignment="1">
      <alignment wrapText="1"/>
      <protection/>
    </xf>
    <xf numFmtId="3" fontId="9" fillId="25" borderId="18" xfId="65" applyNumberFormat="1" applyFont="1" applyFill="1" applyBorder="1">
      <alignment/>
      <protection/>
    </xf>
    <xf numFmtId="3" fontId="2" fillId="0" borderId="16" xfId="65" applyNumberFormat="1" applyFont="1" applyBorder="1">
      <alignment/>
      <protection/>
    </xf>
    <xf numFmtId="3" fontId="9" fillId="24" borderId="16" xfId="65" applyNumberFormat="1" applyFont="1" applyFill="1" applyBorder="1">
      <alignment/>
      <protection/>
    </xf>
    <xf numFmtId="3" fontId="9" fillId="0" borderId="47" xfId="65" applyNumberFormat="1" applyFont="1" applyBorder="1">
      <alignment/>
      <protection/>
    </xf>
    <xf numFmtId="3" fontId="9" fillId="24" borderId="31" xfId="65" applyNumberFormat="1" applyFont="1" applyFill="1" applyBorder="1">
      <alignment/>
      <protection/>
    </xf>
    <xf numFmtId="3" fontId="9" fillId="0" borderId="29" xfId="65" applyNumberFormat="1" applyFont="1" applyBorder="1">
      <alignment/>
      <protection/>
    </xf>
    <xf numFmtId="0" fontId="9" fillId="0" borderId="12" xfId="65" applyFont="1" applyBorder="1" applyAlignment="1">
      <alignment horizontal="right"/>
      <protection/>
    </xf>
    <xf numFmtId="0" fontId="31" fillId="0" borderId="0" xfId="65" applyFont="1" applyAlignment="1">
      <alignment wrapText="1"/>
      <protection/>
    </xf>
    <xf numFmtId="3" fontId="10" fillId="0" borderId="18" xfId="65" applyNumberFormat="1" applyFont="1" applyBorder="1">
      <alignment/>
      <protection/>
    </xf>
    <xf numFmtId="200" fontId="9" fillId="0" borderId="18" xfId="65" applyNumberFormat="1" applyFont="1" applyBorder="1">
      <alignment/>
      <protection/>
    </xf>
    <xf numFmtId="0" fontId="10" fillId="0" borderId="42" xfId="65" applyFont="1" applyBorder="1" applyAlignment="1">
      <alignment horizontal="left"/>
      <protection/>
    </xf>
    <xf numFmtId="0" fontId="10" fillId="0" borderId="14" xfId="65" applyFont="1" applyBorder="1" applyAlignment="1">
      <alignment wrapText="1"/>
      <protection/>
    </xf>
    <xf numFmtId="3" fontId="10" fillId="0" borderId="14" xfId="65" applyNumberFormat="1" applyFont="1" applyBorder="1">
      <alignment/>
      <protection/>
    </xf>
    <xf numFmtId="3" fontId="10" fillId="0" borderId="43" xfId="65" applyNumberFormat="1" applyFont="1" applyBorder="1">
      <alignment/>
      <protection/>
    </xf>
    <xf numFmtId="3" fontId="10" fillId="0" borderId="37" xfId="65" applyNumberFormat="1" applyFont="1" applyBorder="1">
      <alignment/>
      <protection/>
    </xf>
    <xf numFmtId="3" fontId="10" fillId="0" borderId="34" xfId="65" applyNumberFormat="1" applyFont="1" applyBorder="1">
      <alignment/>
      <protection/>
    </xf>
    <xf numFmtId="3" fontId="9" fillId="0" borderId="14" xfId="65" applyNumberFormat="1" applyFont="1" applyBorder="1">
      <alignment/>
      <protection/>
    </xf>
    <xf numFmtId="3" fontId="9" fillId="0" borderId="34" xfId="65" applyNumberFormat="1" applyFont="1" applyBorder="1">
      <alignment/>
      <protection/>
    </xf>
    <xf numFmtId="3" fontId="9" fillId="0" borderId="48" xfId="65" applyNumberFormat="1" applyFont="1" applyBorder="1">
      <alignment/>
      <protection/>
    </xf>
    <xf numFmtId="1" fontId="2" fillId="0" borderId="33" xfId="65" applyNumberFormat="1" applyFont="1" applyBorder="1">
      <alignment/>
      <protection/>
    </xf>
    <xf numFmtId="1" fontId="9" fillId="0" borderId="33" xfId="65" applyNumberFormat="1" applyFont="1" applyBorder="1">
      <alignment/>
      <protection/>
    </xf>
    <xf numFmtId="1" fontId="9" fillId="0" borderId="49" xfId="65" applyNumberFormat="1" applyFont="1" applyBorder="1">
      <alignment/>
      <protection/>
    </xf>
    <xf numFmtId="0" fontId="9" fillId="0" borderId="10" xfId="65" applyFont="1" applyBorder="1" applyAlignment="1">
      <alignment horizontal="right"/>
      <protection/>
    </xf>
    <xf numFmtId="0" fontId="10" fillId="0" borderId="13" xfId="65" applyFont="1" applyBorder="1" applyAlignment="1">
      <alignment horizontal="right" wrapText="1"/>
      <protection/>
    </xf>
    <xf numFmtId="3" fontId="10" fillId="0" borderId="13" xfId="65" applyNumberFormat="1" applyFont="1" applyBorder="1" applyAlignment="1">
      <alignment horizontal="center"/>
      <protection/>
    </xf>
    <xf numFmtId="3" fontId="10" fillId="0" borderId="21" xfId="65" applyNumberFormat="1" applyFont="1" applyBorder="1" applyAlignment="1">
      <alignment horizontal="center"/>
      <protection/>
    </xf>
    <xf numFmtId="0" fontId="9" fillId="0" borderId="18" xfId="65" applyFont="1" applyBorder="1" applyAlignment="1">
      <alignment horizontal="left" wrapText="1"/>
      <protection/>
    </xf>
    <xf numFmtId="0" fontId="10" fillId="0" borderId="14" xfId="65" applyFont="1" applyBorder="1">
      <alignment/>
      <protection/>
    </xf>
    <xf numFmtId="0" fontId="10" fillId="0" borderId="14" xfId="65" applyFont="1" applyBorder="1" applyAlignment="1">
      <alignment horizontal="left" wrapText="1"/>
      <protection/>
    </xf>
    <xf numFmtId="3" fontId="10" fillId="0" borderId="14" xfId="65" applyNumberFormat="1" applyFont="1" applyBorder="1" applyAlignment="1">
      <alignment horizontal="center"/>
      <protection/>
    </xf>
    <xf numFmtId="0" fontId="9" fillId="0" borderId="14" xfId="65" applyFont="1" applyBorder="1" applyAlignment="1">
      <alignment horizontal="left" wrapText="1"/>
      <protection/>
    </xf>
    <xf numFmtId="3" fontId="9" fillId="0" borderId="14" xfId="65" applyNumberFormat="1" applyFont="1" applyBorder="1" applyAlignment="1">
      <alignment horizontal="center"/>
      <protection/>
    </xf>
    <xf numFmtId="3" fontId="10" fillId="0" borderId="0" xfId="65" applyNumberFormat="1" applyFont="1" applyAlignment="1">
      <alignment horizontal="center"/>
      <protection/>
    </xf>
    <xf numFmtId="3" fontId="10" fillId="0" borderId="0" xfId="65" applyNumberFormat="1" applyFont="1">
      <alignment/>
      <protection/>
    </xf>
    <xf numFmtId="210" fontId="10" fillId="0" borderId="0" xfId="65" applyNumberFormat="1" applyFont="1">
      <alignment/>
      <protection/>
    </xf>
    <xf numFmtId="3" fontId="62" fillId="0" borderId="0" xfId="65" applyNumberFormat="1" applyFont="1">
      <alignment/>
      <protection/>
    </xf>
    <xf numFmtId="3" fontId="62" fillId="0" borderId="0" xfId="65" applyNumberFormat="1" applyFont="1">
      <alignment/>
      <protection/>
    </xf>
    <xf numFmtId="3" fontId="62" fillId="0" borderId="0" xfId="65" applyNumberFormat="1" applyFont="1">
      <alignment/>
      <protection/>
    </xf>
    <xf numFmtId="0" fontId="10" fillId="0" borderId="0" xfId="65" applyFont="1" applyAlignment="1">
      <alignment horizontal="right"/>
      <protection/>
    </xf>
    <xf numFmtId="3" fontId="10" fillId="0" borderId="0" xfId="65" applyNumberFormat="1" applyFont="1" applyAlignment="1">
      <alignment wrapText="1"/>
      <protection/>
    </xf>
    <xf numFmtId="49" fontId="10" fillId="0" borderId="10" xfId="65" applyNumberFormat="1" applyFont="1" applyBorder="1">
      <alignment/>
      <protection/>
    </xf>
    <xf numFmtId="49" fontId="10" fillId="0" borderId="12" xfId="65" applyNumberFormat="1" applyFont="1" applyBorder="1" applyAlignment="1">
      <alignment horizontal="right"/>
      <protection/>
    </xf>
    <xf numFmtId="0" fontId="10" fillId="0" borderId="18" xfId="65" applyFont="1" applyBorder="1" applyAlignment="1">
      <alignment wrapText="1"/>
      <protection/>
    </xf>
    <xf numFmtId="3" fontId="10" fillId="0" borderId="40" xfId="65" applyNumberFormat="1" applyFont="1" applyBorder="1">
      <alignment/>
      <protection/>
    </xf>
    <xf numFmtId="3" fontId="10" fillId="0" borderId="50" xfId="65" applyNumberFormat="1" applyFont="1" applyBorder="1">
      <alignment/>
      <protection/>
    </xf>
    <xf numFmtId="3" fontId="10" fillId="0" borderId="27" xfId="65" applyNumberFormat="1" applyFont="1" applyBorder="1">
      <alignment/>
      <protection/>
    </xf>
    <xf numFmtId="3" fontId="10" fillId="0" borderId="35" xfId="65" applyNumberFormat="1" applyFont="1" applyBorder="1">
      <alignment/>
      <protection/>
    </xf>
    <xf numFmtId="3" fontId="10" fillId="0" borderId="51" xfId="65" applyNumberFormat="1" applyFont="1" applyBorder="1">
      <alignment/>
      <protection/>
    </xf>
    <xf numFmtId="49" fontId="10" fillId="0" borderId="42" xfId="65" applyNumberFormat="1" applyFont="1" applyBorder="1" applyAlignment="1">
      <alignment horizontal="right"/>
      <protection/>
    </xf>
    <xf numFmtId="3" fontId="10" fillId="0" borderId="52" xfId="65" applyNumberFormat="1" applyFont="1" applyBorder="1">
      <alignment/>
      <protection/>
    </xf>
    <xf numFmtId="49" fontId="9" fillId="0" borderId="42" xfId="65" applyNumberFormat="1" applyFont="1" applyBorder="1" applyAlignment="1">
      <alignment horizontal="right"/>
      <protection/>
    </xf>
    <xf numFmtId="3" fontId="62" fillId="0" borderId="34" xfId="65" applyNumberFormat="1" applyFont="1" applyBorder="1">
      <alignment/>
      <protection/>
    </xf>
    <xf numFmtId="49" fontId="9" fillId="0" borderId="42" xfId="65" applyNumberFormat="1" applyFont="1" applyBorder="1" applyAlignment="1">
      <alignment horizontal="right" wrapText="1"/>
      <protection/>
    </xf>
    <xf numFmtId="3" fontId="9" fillId="25" borderId="34" xfId="65" applyNumberFormat="1" applyFont="1" applyFill="1" applyBorder="1">
      <alignment/>
      <protection/>
    </xf>
    <xf numFmtId="1" fontId="9" fillId="0" borderId="16" xfId="65" applyNumberFormat="1" applyFont="1" applyBorder="1">
      <alignment/>
      <protection/>
    </xf>
    <xf numFmtId="0" fontId="9" fillId="0" borderId="16" xfId="65" applyFont="1" applyBorder="1" applyAlignment="1">
      <alignment horizontal="left" wrapText="1"/>
      <protection/>
    </xf>
    <xf numFmtId="3" fontId="62" fillId="0" borderId="20" xfId="65" applyNumberFormat="1" applyFont="1" applyBorder="1">
      <alignment/>
      <protection/>
    </xf>
    <xf numFmtId="49" fontId="10" fillId="0" borderId="15" xfId="65" applyNumberFormat="1" applyFont="1" applyBorder="1" applyAlignment="1">
      <alignment horizontal="right"/>
      <protection/>
    </xf>
    <xf numFmtId="0" fontId="10" fillId="0" borderId="16" xfId="65" applyFont="1" applyBorder="1" applyAlignment="1">
      <alignment wrapText="1"/>
      <protection/>
    </xf>
    <xf numFmtId="3" fontId="10" fillId="0" borderId="20" xfId="65" applyNumberFormat="1" applyFont="1" applyBorder="1">
      <alignment/>
      <protection/>
    </xf>
    <xf numFmtId="3" fontId="10" fillId="0" borderId="16" xfId="65" applyNumberFormat="1" applyFont="1" applyBorder="1">
      <alignment/>
      <protection/>
    </xf>
    <xf numFmtId="1" fontId="10" fillId="0" borderId="31" xfId="65" applyNumberFormat="1" applyFont="1" applyBorder="1">
      <alignment/>
      <protection/>
    </xf>
    <xf numFmtId="200" fontId="10" fillId="0" borderId="16" xfId="65" applyNumberFormat="1" applyFont="1" applyBorder="1">
      <alignment/>
      <protection/>
    </xf>
    <xf numFmtId="1" fontId="10" fillId="0" borderId="16" xfId="65" applyNumberFormat="1" applyFont="1" applyBorder="1">
      <alignment/>
      <protection/>
    </xf>
    <xf numFmtId="0" fontId="10" fillId="0" borderId="16" xfId="65" applyFont="1" applyBorder="1">
      <alignment/>
      <protection/>
    </xf>
    <xf numFmtId="0" fontId="10" fillId="0" borderId="20" xfId="65" applyFont="1" applyBorder="1">
      <alignment/>
      <protection/>
    </xf>
    <xf numFmtId="3" fontId="10" fillId="0" borderId="53" xfId="65" applyNumberFormat="1" applyFont="1" applyBorder="1">
      <alignment/>
      <protection/>
    </xf>
    <xf numFmtId="49" fontId="10" fillId="0" borderId="10" xfId="65" applyNumberFormat="1" applyFont="1" applyBorder="1" applyAlignment="1">
      <alignment horizontal="left"/>
      <protection/>
    </xf>
    <xf numFmtId="49" fontId="10" fillId="0" borderId="37" xfId="65" applyNumberFormat="1" applyFont="1" applyBorder="1" applyAlignment="1">
      <alignment horizontal="right"/>
      <protection/>
    </xf>
    <xf numFmtId="0" fontId="10" fillId="0" borderId="33" xfId="65" applyFont="1" applyBorder="1" applyAlignment="1">
      <alignment wrapText="1"/>
      <protection/>
    </xf>
    <xf numFmtId="3" fontId="10" fillId="0" borderId="48" xfId="65" applyNumberFormat="1" applyFont="1" applyBorder="1">
      <alignment/>
      <protection/>
    </xf>
    <xf numFmtId="49" fontId="9" fillId="0" borderId="49" xfId="65" applyNumberFormat="1" applyFont="1" applyBorder="1" applyAlignment="1">
      <alignment horizontal="right"/>
      <protection/>
    </xf>
    <xf numFmtId="200" fontId="9" fillId="0" borderId="33" xfId="65" applyNumberFormat="1" applyFont="1" applyBorder="1">
      <alignment/>
      <protection/>
    </xf>
    <xf numFmtId="0" fontId="9" fillId="0" borderId="26" xfId="65" applyFont="1" applyBorder="1">
      <alignment/>
      <protection/>
    </xf>
    <xf numFmtId="49" fontId="10" fillId="0" borderId="16" xfId="65" applyNumberFormat="1" applyFont="1" applyBorder="1" applyAlignment="1">
      <alignment horizontal="right"/>
      <protection/>
    </xf>
    <xf numFmtId="1" fontId="10" fillId="0" borderId="14" xfId="65" applyNumberFormat="1" applyFont="1" applyBorder="1">
      <alignment/>
      <protection/>
    </xf>
    <xf numFmtId="200" fontId="10" fillId="0" borderId="14" xfId="65" applyNumberFormat="1" applyFont="1" applyBorder="1">
      <alignment/>
      <protection/>
    </xf>
    <xf numFmtId="0" fontId="10" fillId="0" borderId="34" xfId="65" applyFont="1" applyBorder="1">
      <alignment/>
      <protection/>
    </xf>
    <xf numFmtId="3" fontId="10" fillId="0" borderId="26" xfId="65" applyNumberFormat="1" applyFont="1" applyBorder="1">
      <alignment/>
      <protection/>
    </xf>
    <xf numFmtId="1" fontId="10" fillId="0" borderId="26" xfId="65" applyNumberFormat="1" applyFont="1" applyBorder="1">
      <alignment/>
      <protection/>
    </xf>
    <xf numFmtId="200" fontId="10" fillId="0" borderId="26" xfId="65" applyNumberFormat="1" applyFont="1" applyBorder="1">
      <alignment/>
      <protection/>
    </xf>
    <xf numFmtId="0" fontId="10" fillId="0" borderId="26" xfId="65" applyFont="1" applyBorder="1">
      <alignment/>
      <protection/>
    </xf>
    <xf numFmtId="0" fontId="10" fillId="0" borderId="18" xfId="65" applyFont="1" applyBorder="1">
      <alignment/>
      <protection/>
    </xf>
    <xf numFmtId="49" fontId="9" fillId="0" borderId="12" xfId="65" applyNumberFormat="1" applyFont="1" applyBorder="1" applyAlignment="1">
      <alignment horizontal="right"/>
      <protection/>
    </xf>
    <xf numFmtId="49" fontId="9" fillId="0" borderId="14" xfId="65" applyNumberFormat="1" applyFont="1" applyBorder="1" applyAlignment="1">
      <alignment horizontal="left"/>
      <protection/>
    </xf>
    <xf numFmtId="3" fontId="9" fillId="25" borderId="40" xfId="65" applyNumberFormat="1" applyFont="1" applyFill="1" applyBorder="1">
      <alignment/>
      <protection/>
    </xf>
    <xf numFmtId="3" fontId="66" fillId="0" borderId="34" xfId="65" applyNumberFormat="1" applyFont="1" applyBorder="1">
      <alignment/>
      <protection/>
    </xf>
    <xf numFmtId="3" fontId="66" fillId="0" borderId="40" xfId="65" applyNumberFormat="1" applyFont="1" applyBorder="1">
      <alignment/>
      <protection/>
    </xf>
    <xf numFmtId="0" fontId="9" fillId="0" borderId="14" xfId="65" applyFont="1" applyBorder="1">
      <alignment/>
      <protection/>
    </xf>
    <xf numFmtId="0" fontId="30" fillId="0" borderId="14" xfId="58" applyFont="1" applyBorder="1" applyAlignment="1">
      <alignment horizontal="left" wrapText="1"/>
      <protection/>
    </xf>
    <xf numFmtId="0" fontId="30" fillId="25" borderId="14" xfId="58" applyFont="1" applyFill="1" applyBorder="1" applyAlignment="1">
      <alignment horizontal="left" wrapText="1"/>
      <protection/>
    </xf>
    <xf numFmtId="49" fontId="10" fillId="0" borderId="45" xfId="65" applyNumberFormat="1" applyFont="1" applyBorder="1" applyAlignment="1">
      <alignment horizontal="right"/>
      <protection/>
    </xf>
    <xf numFmtId="200" fontId="9" fillId="0" borderId="26" xfId="65" applyNumberFormat="1" applyFont="1" applyBorder="1">
      <alignment/>
      <protection/>
    </xf>
    <xf numFmtId="0" fontId="10" fillId="0" borderId="13" xfId="65" applyFont="1" applyBorder="1" applyAlignment="1">
      <alignment horizontal="left" wrapText="1"/>
      <protection/>
    </xf>
    <xf numFmtId="0" fontId="10" fillId="0" borderId="18" xfId="65" applyFont="1" applyBorder="1" applyAlignment="1">
      <alignment horizontal="left" wrapText="1"/>
      <protection/>
    </xf>
    <xf numFmtId="3" fontId="10" fillId="0" borderId="54" xfId="65" applyNumberFormat="1" applyFont="1" applyBorder="1">
      <alignment/>
      <protection/>
    </xf>
    <xf numFmtId="200" fontId="9" fillId="0" borderId="37" xfId="65" applyNumberFormat="1" applyFont="1" applyBorder="1">
      <alignment/>
      <protection/>
    </xf>
    <xf numFmtId="49" fontId="9" fillId="0" borderId="15" xfId="65" applyNumberFormat="1" applyFont="1" applyBorder="1" applyAlignment="1">
      <alignment horizontal="right"/>
      <protection/>
    </xf>
    <xf numFmtId="0" fontId="9" fillId="0" borderId="48" xfId="65" applyFont="1" applyBorder="1">
      <alignment/>
      <protection/>
    </xf>
    <xf numFmtId="3" fontId="10" fillId="25" borderId="40" xfId="65" applyNumberFormat="1" applyFont="1" applyFill="1" applyBorder="1">
      <alignment/>
      <protection/>
    </xf>
    <xf numFmtId="49" fontId="9" fillId="0" borderId="45" xfId="65" applyNumberFormat="1" applyFont="1" applyBorder="1" applyAlignment="1">
      <alignment horizontal="right"/>
      <protection/>
    </xf>
    <xf numFmtId="0" fontId="9" fillId="0" borderId="27" xfId="65" applyFont="1" applyBorder="1">
      <alignment/>
      <protection/>
    </xf>
    <xf numFmtId="1" fontId="2" fillId="0" borderId="37" xfId="65" applyNumberFormat="1" applyFont="1" applyBorder="1">
      <alignment/>
      <protection/>
    </xf>
    <xf numFmtId="0" fontId="9" fillId="0" borderId="37" xfId="65" applyFont="1" applyBorder="1" applyAlignment="1">
      <alignment horizontal="left" wrapText="1"/>
      <protection/>
    </xf>
    <xf numFmtId="0" fontId="9" fillId="24" borderId="14" xfId="65" applyFont="1" applyFill="1" applyBorder="1">
      <alignment/>
      <protection/>
    </xf>
    <xf numFmtId="0" fontId="9" fillId="24" borderId="33" xfId="65" applyFont="1" applyFill="1" applyBorder="1">
      <alignment/>
      <protection/>
    </xf>
    <xf numFmtId="49" fontId="9" fillId="25" borderId="42" xfId="65" applyNumberFormat="1" applyFont="1" applyFill="1" applyBorder="1" applyAlignment="1">
      <alignment horizontal="right"/>
      <protection/>
    </xf>
    <xf numFmtId="0" fontId="30" fillId="25" borderId="16" xfId="58" applyFont="1" applyFill="1" applyBorder="1" applyAlignment="1">
      <alignment horizontal="left" wrapText="1"/>
      <protection/>
    </xf>
    <xf numFmtId="1" fontId="9" fillId="0" borderId="34" xfId="65" applyNumberFormat="1" applyFont="1" applyBorder="1">
      <alignment/>
      <protection/>
    </xf>
    <xf numFmtId="0" fontId="9" fillId="24" borderId="34" xfId="65" applyFont="1" applyFill="1" applyBorder="1">
      <alignment/>
      <protection/>
    </xf>
    <xf numFmtId="0" fontId="9" fillId="0" borderId="34" xfId="65" applyFont="1" applyBorder="1">
      <alignment/>
      <protection/>
    </xf>
    <xf numFmtId="0" fontId="67" fillId="0" borderId="14" xfId="65" applyFont="1" applyBorder="1" applyAlignment="1">
      <alignment wrapText="1"/>
      <protection/>
    </xf>
    <xf numFmtId="200" fontId="9" fillId="0" borderId="34" xfId="65" applyNumberFormat="1" applyFont="1" applyBorder="1">
      <alignment/>
      <protection/>
    </xf>
    <xf numFmtId="3" fontId="9" fillId="25" borderId="26" xfId="65" applyNumberFormat="1" applyFont="1" applyFill="1" applyBorder="1">
      <alignment/>
      <protection/>
    </xf>
    <xf numFmtId="0" fontId="9" fillId="24" borderId="26" xfId="65" applyFont="1" applyFill="1" applyBorder="1">
      <alignment/>
      <protection/>
    </xf>
    <xf numFmtId="0" fontId="9" fillId="0" borderId="33" xfId="65" applyFont="1" applyBorder="1" applyAlignment="1">
      <alignment wrapText="1"/>
      <protection/>
    </xf>
    <xf numFmtId="1" fontId="9" fillId="0" borderId="26" xfId="65" applyNumberFormat="1" applyFont="1" applyBorder="1">
      <alignment/>
      <protection/>
    </xf>
    <xf numFmtId="0" fontId="9" fillId="0" borderId="43" xfId="65" applyFont="1" applyBorder="1">
      <alignment/>
      <protection/>
    </xf>
    <xf numFmtId="0" fontId="10" fillId="0" borderId="16" xfId="65" applyFont="1" applyBorder="1" applyAlignment="1">
      <alignment horizontal="left" wrapText="1"/>
      <protection/>
    </xf>
    <xf numFmtId="3" fontId="10" fillId="25" borderId="34" xfId="65" applyNumberFormat="1" applyFont="1" applyFill="1" applyBorder="1">
      <alignment/>
      <protection/>
    </xf>
    <xf numFmtId="49" fontId="10" fillId="0" borderId="28" xfId="65" applyNumberFormat="1" applyFont="1" applyBorder="1" applyAlignment="1">
      <alignment horizontal="right"/>
      <protection/>
    </xf>
    <xf numFmtId="3" fontId="10" fillId="0" borderId="33" xfId="65" applyNumberFormat="1" applyFont="1" applyBorder="1">
      <alignment/>
      <protection/>
    </xf>
    <xf numFmtId="49" fontId="10" fillId="0" borderId="55" xfId="65" applyNumberFormat="1" applyFont="1" applyBorder="1" applyAlignment="1">
      <alignment horizontal="left"/>
      <protection/>
    </xf>
    <xf numFmtId="2" fontId="9" fillId="0" borderId="14" xfId="65" applyNumberFormat="1" applyFont="1" applyBorder="1" applyAlignment="1">
      <alignment wrapText="1"/>
      <protection/>
    </xf>
    <xf numFmtId="2" fontId="10" fillId="0" borderId="14" xfId="65" applyNumberFormat="1" applyFont="1" applyBorder="1" applyAlignment="1">
      <alignment wrapText="1"/>
      <protection/>
    </xf>
    <xf numFmtId="49" fontId="10" fillId="0" borderId="14" xfId="65" applyNumberFormat="1" applyFont="1" applyBorder="1" applyAlignment="1">
      <alignment horizontal="right"/>
      <protection/>
    </xf>
    <xf numFmtId="49" fontId="10" fillId="0" borderId="30" xfId="65" applyNumberFormat="1" applyFont="1" applyBorder="1" applyAlignment="1">
      <alignment horizontal="right"/>
      <protection/>
    </xf>
    <xf numFmtId="0" fontId="10" fillId="0" borderId="56" xfId="65" applyFont="1" applyBorder="1" applyAlignment="1">
      <alignment wrapText="1"/>
      <protection/>
    </xf>
    <xf numFmtId="3" fontId="10" fillId="0" borderId="57" xfId="65" applyNumberFormat="1" applyFont="1" applyBorder="1">
      <alignment/>
      <protection/>
    </xf>
    <xf numFmtId="3" fontId="10" fillId="0" borderId="58" xfId="65" applyNumberFormat="1" applyFont="1" applyBorder="1">
      <alignment/>
      <protection/>
    </xf>
    <xf numFmtId="3" fontId="10" fillId="0" borderId="23" xfId="65" applyNumberFormat="1" applyFont="1" applyBorder="1">
      <alignment/>
      <protection/>
    </xf>
    <xf numFmtId="3" fontId="10" fillId="0" borderId="59" xfId="65" applyNumberFormat="1" applyFont="1" applyBorder="1">
      <alignment/>
      <protection/>
    </xf>
    <xf numFmtId="0" fontId="30" fillId="0" borderId="33" xfId="58" applyFont="1" applyBorder="1" applyAlignment="1">
      <alignment horizontal="left" wrapText="1"/>
      <protection/>
    </xf>
    <xf numFmtId="0" fontId="30" fillId="0" borderId="16" xfId="58" applyFont="1" applyBorder="1" applyAlignment="1">
      <alignment horizontal="left" wrapText="1"/>
      <protection/>
    </xf>
    <xf numFmtId="49" fontId="9" fillId="0" borderId="14" xfId="65" applyNumberFormat="1" applyFont="1" applyBorder="1" applyAlignment="1">
      <alignment horizontal="right"/>
      <protection/>
    </xf>
    <xf numFmtId="0" fontId="9" fillId="0" borderId="14" xfId="65" applyFont="1" applyBorder="1" applyAlignment="1">
      <alignment horizontal="left" wrapText="1"/>
      <protection/>
    </xf>
    <xf numFmtId="0" fontId="30" fillId="0" borderId="31" xfId="58" applyFont="1" applyBorder="1" applyAlignment="1">
      <alignment horizontal="left" wrapText="1"/>
      <protection/>
    </xf>
    <xf numFmtId="1" fontId="10" fillId="0" borderId="27" xfId="65" applyNumberFormat="1" applyFont="1" applyBorder="1">
      <alignment/>
      <protection/>
    </xf>
    <xf numFmtId="200" fontId="10" fillId="0" borderId="27" xfId="65" applyNumberFormat="1" applyFont="1" applyBorder="1">
      <alignment/>
      <protection/>
    </xf>
    <xf numFmtId="0" fontId="10" fillId="0" borderId="27" xfId="65" applyFont="1" applyBorder="1">
      <alignment/>
      <protection/>
    </xf>
    <xf numFmtId="0" fontId="10" fillId="0" borderId="23" xfId="65" applyFont="1" applyBorder="1">
      <alignment/>
      <protection/>
    </xf>
    <xf numFmtId="3" fontId="10" fillId="0" borderId="60" xfId="65" applyNumberFormat="1" applyFont="1" applyBorder="1">
      <alignment/>
      <protection/>
    </xf>
    <xf numFmtId="0" fontId="9" fillId="0" borderId="10" xfId="65" applyFont="1" applyBorder="1">
      <alignment/>
      <protection/>
    </xf>
    <xf numFmtId="3" fontId="10" fillId="0" borderId="13" xfId="65" applyNumberFormat="1" applyFont="1" applyBorder="1" applyAlignment="1">
      <alignment wrapText="1"/>
      <protection/>
    </xf>
    <xf numFmtId="0" fontId="43" fillId="0" borderId="0" xfId="65" applyFont="1">
      <alignment/>
      <protection/>
    </xf>
    <xf numFmtId="0" fontId="10" fillId="0" borderId="0" xfId="65" applyFont="1" applyAlignment="1">
      <alignment horizontal="left" wrapText="1"/>
      <protection/>
    </xf>
    <xf numFmtId="49" fontId="9" fillId="0" borderId="0" xfId="65" applyNumberFormat="1" applyFont="1" applyAlignment="1">
      <alignment horizontal="center" wrapText="1"/>
      <protection/>
    </xf>
    <xf numFmtId="0" fontId="34" fillId="0" borderId="0" xfId="65" applyFont="1" applyAlignment="1">
      <alignment horizontal="right" wrapText="1"/>
      <protection/>
    </xf>
    <xf numFmtId="4" fontId="10" fillId="0" borderId="0" xfId="65" applyNumberFormat="1" applyFont="1">
      <alignment/>
      <protection/>
    </xf>
    <xf numFmtId="3" fontId="39" fillId="0" borderId="0" xfId="65" applyNumberFormat="1" applyFont="1">
      <alignment/>
      <protection/>
    </xf>
    <xf numFmtId="0" fontId="9" fillId="0" borderId="0" xfId="65" applyFont="1" applyAlignment="1">
      <alignment horizontal="right" wrapText="1"/>
      <protection/>
    </xf>
    <xf numFmtId="0" fontId="10" fillId="0" borderId="46" xfId="65" applyFont="1" applyBorder="1" applyAlignment="1">
      <alignment horizontal="left"/>
      <protection/>
    </xf>
    <xf numFmtId="3" fontId="9" fillId="0" borderId="27" xfId="65" applyNumberFormat="1" applyFont="1" applyBorder="1">
      <alignment/>
      <protection/>
    </xf>
    <xf numFmtId="3" fontId="9" fillId="0" borderId="23" xfId="65" applyNumberFormat="1" applyFont="1" applyBorder="1">
      <alignment/>
      <protection/>
    </xf>
    <xf numFmtId="3" fontId="2" fillId="0" borderId="50" xfId="65" applyNumberFormat="1" applyFont="1" applyBorder="1">
      <alignment/>
      <protection/>
    </xf>
    <xf numFmtId="3" fontId="2" fillId="0" borderId="27" xfId="65" applyNumberFormat="1" applyFont="1" applyBorder="1">
      <alignment/>
      <protection/>
    </xf>
    <xf numFmtId="3" fontId="9" fillId="0" borderId="27" xfId="65" applyNumberFormat="1" applyFont="1" applyBorder="1">
      <alignment/>
      <protection/>
    </xf>
    <xf numFmtId="3" fontId="2" fillId="0" borderId="37" xfId="65" applyNumberFormat="1" applyFont="1" applyBorder="1">
      <alignment/>
      <protection/>
    </xf>
    <xf numFmtId="3" fontId="9" fillId="24" borderId="14" xfId="65" applyNumberFormat="1" applyFont="1" applyFill="1" applyBorder="1">
      <alignment/>
      <protection/>
    </xf>
    <xf numFmtId="0" fontId="9" fillId="0" borderId="31" xfId="65" applyFont="1" applyBorder="1" applyAlignment="1">
      <alignment wrapText="1"/>
      <protection/>
    </xf>
    <xf numFmtId="3" fontId="2" fillId="0" borderId="47" xfId="65" applyNumberFormat="1" applyFont="1" applyBorder="1">
      <alignment/>
      <protection/>
    </xf>
    <xf numFmtId="0" fontId="10" fillId="0" borderId="21" xfId="65" applyFont="1" applyBorder="1" applyAlignment="1">
      <alignment horizontal="right"/>
      <protection/>
    </xf>
    <xf numFmtId="3" fontId="10" fillId="0" borderId="55" xfId="65" applyNumberFormat="1" applyFont="1" applyBorder="1">
      <alignment/>
      <protection/>
    </xf>
    <xf numFmtId="3" fontId="9" fillId="0" borderId="0" xfId="65" applyNumberFormat="1" applyFont="1" applyAlignment="1">
      <alignment horizontal="right" wrapText="1"/>
      <protection/>
    </xf>
    <xf numFmtId="1" fontId="4" fillId="0" borderId="33" xfId="0" applyNumberFormat="1" applyFont="1" applyBorder="1" applyAlignment="1">
      <alignment/>
    </xf>
    <xf numFmtId="1" fontId="4" fillId="0" borderId="33" xfId="0" applyNumberFormat="1" applyFont="1" applyBorder="1" applyAlignment="1">
      <alignment wrapText="1"/>
    </xf>
    <xf numFmtId="1" fontId="10" fillId="0" borderId="27" xfId="0" applyNumberFormat="1" applyFont="1" applyBorder="1" applyAlignment="1">
      <alignment/>
    </xf>
    <xf numFmtId="1" fontId="10" fillId="0" borderId="61" xfId="0" applyNumberFormat="1" applyFont="1" applyBorder="1" applyAlignment="1">
      <alignment/>
    </xf>
    <xf numFmtId="0" fontId="10" fillId="0" borderId="50" xfId="0" applyFont="1" applyBorder="1" applyAlignment="1">
      <alignment/>
    </xf>
    <xf numFmtId="0" fontId="4" fillId="0" borderId="33" xfId="0" applyFont="1" applyBorder="1" applyAlignment="1">
      <alignment/>
    </xf>
    <xf numFmtId="1" fontId="4" fillId="0" borderId="56" xfId="0" applyNumberFormat="1" applyFont="1" applyBorder="1" applyAlignment="1">
      <alignment/>
    </xf>
    <xf numFmtId="0" fontId="5" fillId="0" borderId="61" xfId="0" applyFont="1" applyBorder="1" applyAlignment="1">
      <alignment/>
    </xf>
    <xf numFmtId="1" fontId="0" fillId="0" borderId="33" xfId="0" applyNumberFormat="1" applyFont="1" applyBorder="1" applyAlignment="1">
      <alignment/>
    </xf>
    <xf numFmtId="3" fontId="30" fillId="0" borderId="36" xfId="0" applyNumberFormat="1" applyFont="1" applyBorder="1" applyAlignment="1">
      <alignment/>
    </xf>
    <xf numFmtId="3" fontId="30" fillId="0" borderId="36" xfId="0" applyNumberFormat="1" applyFont="1" applyBorder="1" applyAlignment="1">
      <alignment horizontal="right" wrapText="1"/>
    </xf>
    <xf numFmtId="3" fontId="30" fillId="0" borderId="27" xfId="0" applyNumberFormat="1" applyFont="1" applyBorder="1" applyAlignment="1">
      <alignment/>
    </xf>
    <xf numFmtId="0" fontId="62" fillId="25" borderId="14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left" wrapText="1"/>
      <protection/>
    </xf>
    <xf numFmtId="1" fontId="2" fillId="0" borderId="0" xfId="0" applyNumberFormat="1" applyFont="1" applyAlignment="1">
      <alignment/>
    </xf>
    <xf numFmtId="0" fontId="30" fillId="0" borderId="0" xfId="0" applyFont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9" fillId="0" borderId="14" xfId="0" applyNumberFormat="1" applyFont="1" applyFill="1" applyBorder="1" applyAlignment="1">
      <alignment horizontal="left"/>
    </xf>
    <xf numFmtId="0" fontId="62" fillId="0" borderId="14" xfId="0" applyFont="1" applyFill="1" applyBorder="1" applyAlignment="1">
      <alignment wrapText="1"/>
    </xf>
    <xf numFmtId="1" fontId="4" fillId="0" borderId="16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3" fontId="44" fillId="0" borderId="14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3" fontId="45" fillId="0" borderId="14" xfId="0" applyNumberFormat="1" applyFont="1" applyFill="1" applyBorder="1" applyAlignment="1">
      <alignment/>
    </xf>
    <xf numFmtId="0" fontId="9" fillId="0" borderId="14" xfId="58" applyFont="1" applyFill="1" applyBorder="1" applyAlignment="1">
      <alignment horizontal="right" wrapText="1"/>
      <protection/>
    </xf>
    <xf numFmtId="49" fontId="9" fillId="0" borderId="14" xfId="0" applyNumberFormat="1" applyFont="1" applyFill="1" applyBorder="1" applyAlignment="1">
      <alignment horizontal="right"/>
    </xf>
    <xf numFmtId="0" fontId="43" fillId="0" borderId="14" xfId="0" applyFont="1" applyBorder="1" applyAlignment="1">
      <alignment/>
    </xf>
    <xf numFmtId="0" fontId="2" fillId="0" borderId="14" xfId="58" applyFont="1" applyFill="1" applyBorder="1" applyAlignment="1">
      <alignment horizontal="right" wrapText="1"/>
      <protection/>
    </xf>
    <xf numFmtId="0" fontId="9" fillId="0" borderId="14" xfId="0" applyFont="1" applyFill="1" applyBorder="1" applyAlignment="1">
      <alignment horizontal="left" wrapText="1"/>
    </xf>
    <xf numFmtId="3" fontId="9" fillId="0" borderId="14" xfId="0" applyNumberFormat="1" applyFont="1" applyFill="1" applyBorder="1" applyAlignment="1">
      <alignment horizontal="right"/>
    </xf>
    <xf numFmtId="3" fontId="30" fillId="25" borderId="37" xfId="0" applyNumberFormat="1" applyFont="1" applyFill="1" applyBorder="1" applyAlignment="1">
      <alignment/>
    </xf>
    <xf numFmtId="0" fontId="9" fillId="0" borderId="0" xfId="58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wrapText="1"/>
    </xf>
    <xf numFmtId="3" fontId="30" fillId="0" borderId="14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3" fontId="50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49" fontId="45" fillId="0" borderId="14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49" fontId="45" fillId="0" borderId="14" xfId="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3" fontId="50" fillId="0" borderId="14" xfId="0" applyNumberFormat="1" applyFont="1" applyFill="1" applyBorder="1" applyAlignment="1">
      <alignment horizontal="right"/>
    </xf>
    <xf numFmtId="0" fontId="44" fillId="0" borderId="14" xfId="0" applyFont="1" applyBorder="1" applyAlignment="1">
      <alignment horizontal="left" wrapText="1"/>
    </xf>
    <xf numFmtId="3" fontId="53" fillId="0" borderId="14" xfId="0" applyNumberFormat="1" applyFont="1" applyFill="1" applyBorder="1" applyAlignment="1">
      <alignment horizontal="right"/>
    </xf>
    <xf numFmtId="0" fontId="52" fillId="0" borderId="14" xfId="0" applyFont="1" applyFill="1" applyBorder="1" applyAlignment="1">
      <alignment vertical="center" wrapText="1"/>
    </xf>
    <xf numFmtId="49" fontId="45" fillId="0" borderId="14" xfId="0" applyNumberFormat="1" applyFont="1" applyFill="1" applyBorder="1" applyAlignment="1">
      <alignment horizontal="left" vertical="center" wrapText="1"/>
    </xf>
    <xf numFmtId="49" fontId="45" fillId="0" borderId="14" xfId="0" applyNumberFormat="1" applyFont="1" applyFill="1" applyBorder="1" applyAlignment="1">
      <alignment horizontal="left"/>
    </xf>
    <xf numFmtId="49" fontId="45" fillId="0" borderId="14" xfId="0" applyNumberFormat="1" applyFont="1" applyFill="1" applyBorder="1" applyAlignment="1">
      <alignment/>
    </xf>
    <xf numFmtId="0" fontId="52" fillId="0" borderId="14" xfId="0" applyFont="1" applyBorder="1" applyAlignment="1">
      <alignment wrapText="1"/>
    </xf>
    <xf numFmtId="0" fontId="9" fillId="25" borderId="14" xfId="0" applyFont="1" applyFill="1" applyBorder="1" applyAlignment="1">
      <alignment horizontal="left" wrapText="1"/>
    </xf>
    <xf numFmtId="3" fontId="44" fillId="0" borderId="14" xfId="0" applyNumberFormat="1" applyFont="1" applyFill="1" applyBorder="1" applyAlignment="1">
      <alignment/>
    </xf>
    <xf numFmtId="0" fontId="9" fillId="0" borderId="14" xfId="59" applyFont="1" applyFill="1" applyBorder="1" applyAlignment="1">
      <alignment horizontal="right" wrapText="1"/>
      <protection/>
    </xf>
    <xf numFmtId="0" fontId="9" fillId="0" borderId="0" xfId="59" applyFont="1" applyBorder="1" applyAlignment="1">
      <alignment horizontal="left" wrapText="1"/>
      <protection/>
    </xf>
    <xf numFmtId="0" fontId="30" fillId="0" borderId="14" xfId="59" applyFont="1" applyFill="1" applyBorder="1" applyAlignment="1">
      <alignment horizontal="right" wrapText="1"/>
      <protection/>
    </xf>
    <xf numFmtId="0" fontId="9" fillId="0" borderId="14" xfId="59" applyFont="1" applyBorder="1" applyAlignment="1">
      <alignment horizontal="right" wrapText="1"/>
      <protection/>
    </xf>
    <xf numFmtId="3" fontId="50" fillId="0" borderId="14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9" fillId="0" borderId="0" xfId="65" applyFont="1" applyBorder="1" applyAlignment="1">
      <alignment horizontal="left" wrapText="1"/>
      <protection/>
    </xf>
    <xf numFmtId="0" fontId="9" fillId="0" borderId="0" xfId="0" applyFont="1" applyFill="1" applyAlignment="1">
      <alignment/>
    </xf>
    <xf numFmtId="0" fontId="9" fillId="0" borderId="0" xfId="58" applyFont="1" applyBorder="1" applyAlignment="1">
      <alignment horizontal="left" wrapText="1"/>
      <protection/>
    </xf>
    <xf numFmtId="3" fontId="30" fillId="0" borderId="0" xfId="0" applyNumberFormat="1" applyFont="1" applyAlignment="1">
      <alignment horizontal="center"/>
    </xf>
    <xf numFmtId="3" fontId="55" fillId="0" borderId="0" xfId="0" applyNumberFormat="1" applyFont="1" applyAlignment="1">
      <alignment/>
    </xf>
    <xf numFmtId="3" fontId="9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0" fontId="9" fillId="0" borderId="14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3" fontId="9" fillId="25" borderId="14" xfId="0" applyNumberFormat="1" applyFont="1" applyFill="1" applyBorder="1" applyAlignment="1">
      <alignment horizontal="left" wrapText="1"/>
    </xf>
    <xf numFmtId="3" fontId="9" fillId="0" borderId="14" xfId="65" applyNumberFormat="1" applyFont="1" applyFill="1" applyBorder="1">
      <alignment/>
      <protection/>
    </xf>
    <xf numFmtId="0" fontId="9" fillId="0" borderId="13" xfId="61" applyFont="1" applyFill="1" applyBorder="1" applyAlignment="1">
      <alignment vertical="center" wrapText="1"/>
      <protection/>
    </xf>
    <xf numFmtId="3" fontId="9" fillId="0" borderId="14" xfId="0" applyNumberFormat="1" applyFont="1" applyFill="1" applyBorder="1" applyAlignment="1">
      <alignment wrapText="1"/>
    </xf>
    <xf numFmtId="3" fontId="10" fillId="0" borderId="55" xfId="65" applyNumberFormat="1" applyFont="1" applyFill="1" applyBorder="1">
      <alignment/>
      <protection/>
    </xf>
    <xf numFmtId="3" fontId="10" fillId="0" borderId="13" xfId="65" applyNumberFormat="1" applyFont="1" applyFill="1" applyBorder="1">
      <alignment/>
      <protection/>
    </xf>
    <xf numFmtId="0" fontId="1" fillId="0" borderId="11" xfId="0" applyFont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0" fillId="0" borderId="33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 wrapText="1"/>
    </xf>
    <xf numFmtId="3" fontId="30" fillId="0" borderId="0" xfId="0" applyNumberFormat="1" applyFont="1" applyFill="1" applyBorder="1" applyAlignment="1">
      <alignment horizontal="right"/>
    </xf>
    <xf numFmtId="0" fontId="9" fillId="0" borderId="14" xfId="65" applyFont="1" applyBorder="1" applyAlignment="1">
      <alignment horizontal="right" wrapText="1"/>
      <protection/>
    </xf>
    <xf numFmtId="1" fontId="2" fillId="0" borderId="14" xfId="65" applyNumberFormat="1" applyFont="1" applyFill="1" applyBorder="1">
      <alignment/>
      <protection/>
    </xf>
    <xf numFmtId="3" fontId="9" fillId="0" borderId="40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9" fillId="25" borderId="33" xfId="0" applyFont="1" applyFill="1" applyBorder="1" applyAlignment="1">
      <alignment horizontal="left" wrapText="1"/>
    </xf>
    <xf numFmtId="0" fontId="9" fillId="25" borderId="14" xfId="65" applyFont="1" applyFill="1" applyBorder="1" applyAlignment="1">
      <alignment horizontal="left" wrapText="1"/>
      <protection/>
    </xf>
    <xf numFmtId="0" fontId="9" fillId="0" borderId="14" xfId="58" applyFont="1" applyFill="1" applyBorder="1" applyAlignment="1">
      <alignment horizontal="left" wrapText="1"/>
      <protection/>
    </xf>
    <xf numFmtId="0" fontId="9" fillId="0" borderId="33" xfId="58" applyFont="1" applyFill="1" applyBorder="1" applyAlignment="1">
      <alignment horizontal="left" wrapText="1"/>
      <protection/>
    </xf>
    <xf numFmtId="3" fontId="68" fillId="0" borderId="14" xfId="0" applyNumberFormat="1" applyFont="1" applyFill="1" applyBorder="1" applyAlignment="1">
      <alignment/>
    </xf>
    <xf numFmtId="3" fontId="46" fillId="0" borderId="14" xfId="0" applyNumberFormat="1" applyFont="1" applyFill="1" applyBorder="1" applyAlignment="1">
      <alignment/>
    </xf>
    <xf numFmtId="3" fontId="47" fillId="0" borderId="14" xfId="0" applyNumberFormat="1" applyFont="1" applyFill="1" applyBorder="1" applyAlignment="1">
      <alignment/>
    </xf>
    <xf numFmtId="3" fontId="46" fillId="0" borderId="14" xfId="0" applyNumberFormat="1" applyFont="1" applyFill="1" applyBorder="1" applyAlignment="1">
      <alignment/>
    </xf>
    <xf numFmtId="3" fontId="65" fillId="0" borderId="14" xfId="0" applyNumberFormat="1" applyFont="1" applyFill="1" applyBorder="1" applyAlignment="1">
      <alignment/>
    </xf>
    <xf numFmtId="3" fontId="6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30" fillId="0" borderId="14" xfId="65" applyFont="1" applyBorder="1" applyAlignment="1">
      <alignment horizontal="left" wrapText="1"/>
      <protection/>
    </xf>
    <xf numFmtId="0" fontId="37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/>
    </xf>
    <xf numFmtId="3" fontId="9" fillId="0" borderId="27" xfId="65" applyNumberFormat="1" applyFont="1" applyFill="1" applyBorder="1">
      <alignment/>
      <protection/>
    </xf>
    <xf numFmtId="0" fontId="9" fillId="24" borderId="18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wrapText="1"/>
    </xf>
    <xf numFmtId="0" fontId="9" fillId="0" borderId="14" xfId="0" applyFont="1" applyBorder="1" applyAlignment="1">
      <alignment horizontal="right" vertical="center" wrapText="1"/>
    </xf>
    <xf numFmtId="3" fontId="63" fillId="0" borderId="14" xfId="0" applyNumberFormat="1" applyFont="1" applyFill="1" applyBorder="1" applyAlignment="1">
      <alignment/>
    </xf>
    <xf numFmtId="3" fontId="45" fillId="0" borderId="14" xfId="0" applyNumberFormat="1" applyFont="1" applyFill="1" applyBorder="1" applyAlignment="1">
      <alignment horizontal="right"/>
    </xf>
    <xf numFmtId="3" fontId="10" fillId="25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3" fontId="10" fillId="0" borderId="0" xfId="0" applyNumberFormat="1" applyFont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1" fontId="9" fillId="0" borderId="37" xfId="65" applyNumberFormat="1" applyFont="1" applyFill="1" applyBorder="1">
      <alignment/>
      <protection/>
    </xf>
    <xf numFmtId="0" fontId="9" fillId="0" borderId="14" xfId="65" applyFont="1" applyFill="1" applyBorder="1">
      <alignment/>
      <protection/>
    </xf>
    <xf numFmtId="3" fontId="10" fillId="0" borderId="27" xfId="65" applyNumberFormat="1" applyFont="1" applyFill="1" applyBorder="1">
      <alignment/>
      <protection/>
    </xf>
    <xf numFmtId="3" fontId="10" fillId="0" borderId="20" xfId="65" applyNumberFormat="1" applyFont="1" applyFill="1" applyBorder="1">
      <alignment/>
      <protection/>
    </xf>
    <xf numFmtId="3" fontId="9" fillId="0" borderId="40" xfId="65" applyNumberFormat="1" applyFont="1" applyFill="1" applyBorder="1">
      <alignment/>
      <protection/>
    </xf>
    <xf numFmtId="0" fontId="9" fillId="0" borderId="14" xfId="0" applyFont="1" applyBorder="1" applyAlignment="1">
      <alignment horizontal="left" vertical="center" wrapText="1"/>
    </xf>
    <xf numFmtId="0" fontId="9" fillId="0" borderId="14" xfId="65" applyFont="1" applyFill="1" applyBorder="1">
      <alignment/>
      <protection/>
    </xf>
    <xf numFmtId="3" fontId="10" fillId="0" borderId="34" xfId="65" applyNumberFormat="1" applyFont="1" applyFill="1" applyBorder="1">
      <alignment/>
      <protection/>
    </xf>
    <xf numFmtId="3" fontId="9" fillId="0" borderId="34" xfId="65" applyNumberFormat="1" applyFont="1" applyFill="1" applyBorder="1">
      <alignment/>
      <protection/>
    </xf>
    <xf numFmtId="0" fontId="9" fillId="0" borderId="34" xfId="65" applyFont="1" applyFill="1" applyBorder="1">
      <alignment/>
      <protection/>
    </xf>
    <xf numFmtId="3" fontId="10" fillId="0" borderId="40" xfId="65" applyNumberFormat="1" applyFont="1" applyFill="1" applyBorder="1">
      <alignment/>
      <protection/>
    </xf>
    <xf numFmtId="3" fontId="62" fillId="0" borderId="34" xfId="65" applyNumberFormat="1" applyFont="1" applyFill="1" applyBorder="1">
      <alignment/>
      <protection/>
    </xf>
    <xf numFmtId="0" fontId="9" fillId="0" borderId="34" xfId="65" applyFont="1" applyFill="1" applyBorder="1">
      <alignment/>
      <protection/>
    </xf>
    <xf numFmtId="1" fontId="9" fillId="0" borderId="14" xfId="65" applyNumberFormat="1" applyFont="1" applyFill="1" applyBorder="1">
      <alignment/>
      <protection/>
    </xf>
    <xf numFmtId="3" fontId="9" fillId="0" borderId="13" xfId="65" applyNumberFormat="1" applyFont="1" applyFill="1" applyBorder="1" applyAlignment="1">
      <alignment horizontal="center" vertical="center" wrapText="1"/>
      <protection/>
    </xf>
    <xf numFmtId="0" fontId="9" fillId="25" borderId="14" xfId="58" applyFont="1" applyFill="1" applyBorder="1" applyAlignment="1">
      <alignment horizontal="right" wrapText="1"/>
      <protection/>
    </xf>
    <xf numFmtId="0" fontId="45" fillId="0" borderId="14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right" wrapText="1"/>
    </xf>
    <xf numFmtId="0" fontId="30" fillId="25" borderId="14" xfId="58" applyFont="1" applyFill="1" applyBorder="1" applyAlignment="1">
      <alignment horizontal="right" wrapText="1"/>
      <protection/>
    </xf>
    <xf numFmtId="0" fontId="48" fillId="0" borderId="14" xfId="0" applyFont="1" applyBorder="1" applyAlignment="1">
      <alignment horizontal="left" wrapText="1"/>
    </xf>
    <xf numFmtId="0" fontId="44" fillId="0" borderId="14" xfId="0" applyFont="1" applyBorder="1" applyAlignment="1">
      <alignment/>
    </xf>
    <xf numFmtId="0" fontId="62" fillId="0" borderId="14" xfId="0" applyFont="1" applyBorder="1" applyAlignment="1">
      <alignment horizontal="left" wrapText="1"/>
    </xf>
    <xf numFmtId="0" fontId="43" fillId="0" borderId="14" xfId="58" applyFont="1" applyFill="1" applyBorder="1" applyAlignment="1">
      <alignment horizontal="right" wrapText="1"/>
      <protection/>
    </xf>
    <xf numFmtId="49" fontId="30" fillId="0" borderId="14" xfId="0" applyNumberFormat="1" applyFont="1" applyFill="1" applyBorder="1" applyAlignment="1">
      <alignment horizontal="left"/>
    </xf>
    <xf numFmtId="0" fontId="9" fillId="25" borderId="14" xfId="65" applyFont="1" applyFill="1" applyBorder="1" applyAlignment="1">
      <alignment wrapText="1"/>
      <protection/>
    </xf>
    <xf numFmtId="0" fontId="36" fillId="0" borderId="0" xfId="65" applyFont="1" applyAlignment="1">
      <alignment horizontal="center"/>
      <protection/>
    </xf>
    <xf numFmtId="0" fontId="36" fillId="0" borderId="62" xfId="65" applyFont="1" applyBorder="1" applyAlignment="1">
      <alignment horizontal="center" wrapText="1"/>
      <protection/>
    </xf>
    <xf numFmtId="0" fontId="3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54" fillId="0" borderId="0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3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/>
    </xf>
    <xf numFmtId="0" fontId="30" fillId="0" borderId="43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wrapText="1"/>
    </xf>
    <xf numFmtId="0" fontId="30" fillId="0" borderId="37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.g plāns apst 3" xfId="57"/>
    <cellStyle name="Normal_PROJEKTI_2016_PLĀNS_Aija un Inese" xfId="58"/>
    <cellStyle name="Normal_PROJEKTI_2016_PLĀNS_Aija un Inese 2" xfId="59"/>
    <cellStyle name="Normal_Sheet1" xfId="60"/>
    <cellStyle name="Normal_Sheet1_Pielikumi oktobra korekcijam 2" xfId="61"/>
    <cellStyle name="Normal_Specbudz.kopsavilkums 2006.g un korekc. 2" xfId="62"/>
    <cellStyle name="Note" xfId="63"/>
    <cellStyle name="Output" xfId="64"/>
    <cellStyle name="Parasts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7"/>
  <sheetViews>
    <sheetView tabSelected="1" zoomScale="98" zoomScaleNormal="98" zoomScalePageLayoutView="0" workbookViewId="0" topLeftCell="A1">
      <pane xSplit="2" ySplit="7" topLeftCell="C4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52" sqref="G52"/>
    </sheetView>
  </sheetViews>
  <sheetFormatPr defaultColWidth="9.140625" defaultRowHeight="12.75"/>
  <cols>
    <col min="1" max="1" width="13.28125" style="210" customWidth="1"/>
    <col min="2" max="2" width="41.00390625" style="211" customWidth="1"/>
    <col min="3" max="3" width="12.7109375" style="210" customWidth="1"/>
    <col min="4" max="4" width="13.8515625" style="212" customWidth="1"/>
    <col min="5" max="5" width="10.7109375" style="210" customWidth="1"/>
    <col min="6" max="6" width="11.00390625" style="210" customWidth="1"/>
    <col min="7" max="7" width="10.57421875" style="210" bestFit="1" customWidth="1"/>
    <col min="8" max="9" width="9.7109375" style="210" customWidth="1"/>
    <col min="10" max="10" width="10.7109375" style="210" customWidth="1"/>
    <col min="11" max="11" width="10.00390625" style="210" customWidth="1"/>
    <col min="12" max="12" width="9.7109375" style="210" customWidth="1"/>
    <col min="13" max="13" width="10.421875" style="210" customWidth="1"/>
    <col min="14" max="14" width="10.28125" style="210" customWidth="1"/>
    <col min="15" max="15" width="13.00390625" style="213" customWidth="1"/>
    <col min="16" max="17" width="9.140625" style="210" customWidth="1"/>
    <col min="18" max="18" width="9.7109375" style="210" customWidth="1"/>
    <col min="19" max="16384" width="9.140625" style="210" customWidth="1"/>
  </cols>
  <sheetData>
    <row r="1" spans="5:6" ht="15">
      <c r="E1" s="190" t="s">
        <v>25</v>
      </c>
      <c r="F1" s="190"/>
    </row>
    <row r="2" spans="1:6" ht="15">
      <c r="A2" s="214"/>
      <c r="E2" s="214" t="s">
        <v>918</v>
      </c>
      <c r="F2" s="214"/>
    </row>
    <row r="3" spans="1:6" ht="15">
      <c r="A3" s="214"/>
      <c r="E3" s="214" t="s">
        <v>920</v>
      </c>
      <c r="F3" s="214"/>
    </row>
    <row r="5" spans="1:4" ht="20.25">
      <c r="A5" s="585" t="s">
        <v>564</v>
      </c>
      <c r="B5" s="585"/>
      <c r="C5" s="585"/>
      <c r="D5" s="585"/>
    </row>
    <row r="6" spans="1:3" ht="15.75" thickBot="1">
      <c r="A6" s="214"/>
      <c r="B6" s="215"/>
      <c r="C6" s="214"/>
    </row>
    <row r="7" spans="1:15" ht="104.25" customHeight="1" thickBot="1">
      <c r="A7" s="216" t="s">
        <v>23</v>
      </c>
      <c r="B7" s="217" t="s">
        <v>162</v>
      </c>
      <c r="C7" s="219" t="s">
        <v>565</v>
      </c>
      <c r="D7" s="73" t="s">
        <v>566</v>
      </c>
      <c r="E7" s="218" t="s">
        <v>567</v>
      </c>
      <c r="F7" s="218" t="s">
        <v>568</v>
      </c>
      <c r="G7" s="521" t="s">
        <v>569</v>
      </c>
      <c r="H7" s="191" t="s">
        <v>570</v>
      </c>
      <c r="I7" s="191" t="s">
        <v>571</v>
      </c>
      <c r="J7" s="521" t="s">
        <v>572</v>
      </c>
      <c r="K7" s="521" t="s">
        <v>573</v>
      </c>
      <c r="L7" s="191" t="s">
        <v>574</v>
      </c>
      <c r="M7" s="191" t="s">
        <v>575</v>
      </c>
      <c r="N7" s="192" t="s">
        <v>576</v>
      </c>
      <c r="O7" s="193" t="s">
        <v>577</v>
      </c>
    </row>
    <row r="8" spans="1:15" ht="15.75" thickBot="1">
      <c r="A8" s="221"/>
      <c r="B8" s="222" t="s">
        <v>38</v>
      </c>
      <c r="C8" s="223">
        <f aca="true" t="shared" si="0" ref="C8:N8">C9+C12+C17</f>
        <v>24931906</v>
      </c>
      <c r="D8" s="223">
        <f t="shared" si="0"/>
        <v>0</v>
      </c>
      <c r="E8" s="223">
        <f t="shared" si="0"/>
        <v>0</v>
      </c>
      <c r="F8" s="224">
        <f t="shared" si="0"/>
        <v>0</v>
      </c>
      <c r="G8" s="223">
        <f t="shared" si="0"/>
        <v>105300</v>
      </c>
      <c r="H8" s="223">
        <f t="shared" si="0"/>
        <v>50140</v>
      </c>
      <c r="I8" s="223">
        <f t="shared" si="0"/>
        <v>44700</v>
      </c>
      <c r="J8" s="223">
        <f t="shared" si="0"/>
        <v>93211</v>
      </c>
      <c r="K8" s="223">
        <f t="shared" si="0"/>
        <v>49365</v>
      </c>
      <c r="L8" s="223">
        <f t="shared" si="0"/>
        <v>52380</v>
      </c>
      <c r="M8" s="223">
        <f t="shared" si="0"/>
        <v>45682</v>
      </c>
      <c r="N8" s="223">
        <f t="shared" si="0"/>
        <v>62030</v>
      </c>
      <c r="O8" s="225">
        <f>SUM(C8:N8)</f>
        <v>25434714</v>
      </c>
    </row>
    <row r="9" spans="1:15" ht="15">
      <c r="A9" s="227" t="s">
        <v>39</v>
      </c>
      <c r="B9" s="228" t="s">
        <v>163</v>
      </c>
      <c r="C9" s="229">
        <f>SUM(C10:C11)</f>
        <v>23120606</v>
      </c>
      <c r="D9" s="229">
        <f aca="true" t="shared" si="1" ref="D9:N9">SUM(D10:D11)</f>
        <v>0</v>
      </c>
      <c r="E9" s="229">
        <f t="shared" si="1"/>
        <v>0</v>
      </c>
      <c r="F9" s="230">
        <f t="shared" si="1"/>
        <v>0</v>
      </c>
      <c r="G9" s="229">
        <f t="shared" si="1"/>
        <v>0</v>
      </c>
      <c r="H9" s="229">
        <f t="shared" si="1"/>
        <v>0</v>
      </c>
      <c r="I9" s="229">
        <f t="shared" si="1"/>
        <v>0</v>
      </c>
      <c r="J9" s="229">
        <f t="shared" si="1"/>
        <v>0</v>
      </c>
      <c r="K9" s="229">
        <f t="shared" si="1"/>
        <v>0</v>
      </c>
      <c r="L9" s="229">
        <f t="shared" si="1"/>
        <v>0</v>
      </c>
      <c r="M9" s="229">
        <f t="shared" si="1"/>
        <v>0</v>
      </c>
      <c r="N9" s="229">
        <f t="shared" si="1"/>
        <v>0</v>
      </c>
      <c r="O9" s="231">
        <f aca="true" t="shared" si="2" ref="O9:O48">SUM(C9:N9)</f>
        <v>23120606</v>
      </c>
    </row>
    <row r="10" spans="1:15" ht="45">
      <c r="A10" s="232" t="s">
        <v>40</v>
      </c>
      <c r="B10" s="233" t="s">
        <v>164</v>
      </c>
      <c r="C10" s="235">
        <v>104430</v>
      </c>
      <c r="D10" s="234"/>
      <c r="E10" s="234"/>
      <c r="F10" s="236"/>
      <c r="G10" s="234"/>
      <c r="H10" s="234"/>
      <c r="I10" s="234"/>
      <c r="J10" s="234"/>
      <c r="K10" s="234"/>
      <c r="L10" s="234"/>
      <c r="M10" s="234"/>
      <c r="N10" s="234"/>
      <c r="O10" s="231">
        <f t="shared" si="2"/>
        <v>104430</v>
      </c>
    </row>
    <row r="11" spans="1:15" ht="30">
      <c r="A11" s="232" t="s">
        <v>41</v>
      </c>
      <c r="B11" s="233" t="s">
        <v>165</v>
      </c>
      <c r="C11" s="234">
        <f>22721488+294688</f>
        <v>23016176</v>
      </c>
      <c r="D11" s="234"/>
      <c r="E11" s="237"/>
      <c r="F11" s="236"/>
      <c r="G11" s="234"/>
      <c r="H11" s="234"/>
      <c r="I11" s="234"/>
      <c r="J11" s="234"/>
      <c r="K11" s="234"/>
      <c r="L11" s="234"/>
      <c r="M11" s="234"/>
      <c r="N11" s="234"/>
      <c r="O11" s="231">
        <f t="shared" si="2"/>
        <v>23016176</v>
      </c>
    </row>
    <row r="12" spans="1:18" ht="15">
      <c r="A12" s="238" t="s">
        <v>166</v>
      </c>
      <c r="B12" s="233" t="s">
        <v>167</v>
      </c>
      <c r="C12" s="234">
        <f>C13</f>
        <v>1741300</v>
      </c>
      <c r="D12" s="234"/>
      <c r="E12" s="234"/>
      <c r="F12" s="236"/>
      <c r="G12" s="234">
        <f>G13</f>
        <v>105300</v>
      </c>
      <c r="H12" s="239">
        <f aca="true" t="shared" si="3" ref="H12:N12">H13</f>
        <v>50140</v>
      </c>
      <c r="I12" s="239">
        <f t="shared" si="3"/>
        <v>44700</v>
      </c>
      <c r="J12" s="239">
        <f t="shared" si="3"/>
        <v>93211</v>
      </c>
      <c r="K12" s="239">
        <f t="shared" si="3"/>
        <v>49365</v>
      </c>
      <c r="L12" s="239">
        <f t="shared" si="3"/>
        <v>52380</v>
      </c>
      <c r="M12" s="239">
        <f t="shared" si="3"/>
        <v>45682</v>
      </c>
      <c r="N12" s="239">
        <f t="shared" si="3"/>
        <v>62030</v>
      </c>
      <c r="O12" s="231">
        <f t="shared" si="2"/>
        <v>2244108</v>
      </c>
      <c r="P12" s="226"/>
      <c r="Q12" s="226"/>
      <c r="R12" s="226"/>
    </row>
    <row r="13" spans="1:15" ht="15">
      <c r="A13" s="238" t="s">
        <v>42</v>
      </c>
      <c r="B13" s="233" t="s">
        <v>43</v>
      </c>
      <c r="C13" s="234">
        <f>SUM(C14:C16)</f>
        <v>1741300</v>
      </c>
      <c r="D13" s="234"/>
      <c r="E13" s="234"/>
      <c r="F13" s="236"/>
      <c r="G13" s="234">
        <f>SUM(G14:G16)</f>
        <v>105300</v>
      </c>
      <c r="H13" s="234">
        <f aca="true" t="shared" si="4" ref="H13:N13">SUM(H14:H16)</f>
        <v>50140</v>
      </c>
      <c r="I13" s="234">
        <f t="shared" si="4"/>
        <v>44700</v>
      </c>
      <c r="J13" s="234">
        <f t="shared" si="4"/>
        <v>93211</v>
      </c>
      <c r="K13" s="234">
        <f t="shared" si="4"/>
        <v>49365</v>
      </c>
      <c r="L13" s="234">
        <f t="shared" si="4"/>
        <v>52380</v>
      </c>
      <c r="M13" s="234">
        <f t="shared" si="4"/>
        <v>45682</v>
      </c>
      <c r="N13" s="234">
        <f t="shared" si="4"/>
        <v>62030</v>
      </c>
      <c r="O13" s="231">
        <f t="shared" si="2"/>
        <v>2244108</v>
      </c>
    </row>
    <row r="14" spans="1:15" ht="15">
      <c r="A14" s="232" t="s">
        <v>26</v>
      </c>
      <c r="B14" s="233" t="s">
        <v>44</v>
      </c>
      <c r="C14" s="240">
        <v>761233</v>
      </c>
      <c r="D14" s="239"/>
      <c r="E14" s="239"/>
      <c r="F14" s="241"/>
      <c r="G14" s="242">
        <v>94000</v>
      </c>
      <c r="H14" s="239">
        <v>45230</v>
      </c>
      <c r="I14" s="239">
        <v>40000</v>
      </c>
      <c r="J14" s="239">
        <v>84237</v>
      </c>
      <c r="K14" s="239">
        <v>45000</v>
      </c>
      <c r="L14" s="520">
        <f>37650+9180</f>
        <v>46830</v>
      </c>
      <c r="M14" s="234">
        <v>42994</v>
      </c>
      <c r="N14" s="239">
        <f>50228+7000</f>
        <v>57228</v>
      </c>
      <c r="O14" s="231">
        <f t="shared" si="2"/>
        <v>1216752</v>
      </c>
    </row>
    <row r="15" spans="1:15" ht="15">
      <c r="A15" s="232" t="s">
        <v>27</v>
      </c>
      <c r="B15" s="233" t="s">
        <v>45</v>
      </c>
      <c r="C15" s="239">
        <v>528947</v>
      </c>
      <c r="D15" s="243"/>
      <c r="E15" s="243"/>
      <c r="F15" s="244"/>
      <c r="G15" s="245">
        <v>4950</v>
      </c>
      <c r="H15" s="243">
        <v>2950</v>
      </c>
      <c r="I15" s="243">
        <v>2200</v>
      </c>
      <c r="J15" s="243">
        <v>4554</v>
      </c>
      <c r="K15" s="243">
        <v>4365</v>
      </c>
      <c r="L15" s="560">
        <v>2550</v>
      </c>
      <c r="M15" s="243">
        <f>228+200</f>
        <v>428</v>
      </c>
      <c r="N15" s="243">
        <f>402+200</f>
        <v>602</v>
      </c>
      <c r="O15" s="231">
        <f t="shared" si="2"/>
        <v>551546</v>
      </c>
    </row>
    <row r="16" spans="1:15" ht="15">
      <c r="A16" s="232" t="s">
        <v>236</v>
      </c>
      <c r="B16" s="233" t="s">
        <v>237</v>
      </c>
      <c r="C16" s="239">
        <f>411120+40000</f>
        <v>451120</v>
      </c>
      <c r="D16" s="243"/>
      <c r="E16" s="243"/>
      <c r="F16" s="244"/>
      <c r="G16" s="245">
        <v>6350</v>
      </c>
      <c r="H16" s="243">
        <v>1960</v>
      </c>
      <c r="I16" s="243">
        <v>2500</v>
      </c>
      <c r="J16" s="243">
        <v>4420</v>
      </c>
      <c r="K16" s="243"/>
      <c r="L16" s="560">
        <v>3000</v>
      </c>
      <c r="M16" s="243">
        <f>1260+1000</f>
        <v>2260</v>
      </c>
      <c r="N16" s="243">
        <f>2100+2100</f>
        <v>4200</v>
      </c>
      <c r="O16" s="231">
        <f t="shared" si="2"/>
        <v>475810</v>
      </c>
    </row>
    <row r="17" spans="1:15" ht="15.75" thickBot="1">
      <c r="A17" s="246" t="s">
        <v>28</v>
      </c>
      <c r="B17" s="247" t="s">
        <v>46</v>
      </c>
      <c r="C17" s="248">
        <v>70000</v>
      </c>
      <c r="D17" s="248"/>
      <c r="E17" s="248"/>
      <c r="F17" s="249"/>
      <c r="G17" s="250"/>
      <c r="H17" s="250"/>
      <c r="I17" s="250"/>
      <c r="J17" s="251"/>
      <c r="K17" s="251"/>
      <c r="L17" s="251"/>
      <c r="M17" s="251"/>
      <c r="N17" s="252"/>
      <c r="O17" s="253">
        <f t="shared" si="2"/>
        <v>70000</v>
      </c>
    </row>
    <row r="18" spans="1:15" ht="15.75" thickBot="1">
      <c r="A18" s="221"/>
      <c r="B18" s="222" t="s">
        <v>47</v>
      </c>
      <c r="C18" s="223">
        <f>SUM(C19:C25)</f>
        <v>419518</v>
      </c>
      <c r="D18" s="223">
        <f aca="true" t="shared" si="5" ref="D18:N18">SUM(D19:D25)</f>
        <v>200</v>
      </c>
      <c r="E18" s="223">
        <f t="shared" si="5"/>
        <v>0</v>
      </c>
      <c r="F18" s="223">
        <f t="shared" si="5"/>
        <v>0</v>
      </c>
      <c r="G18" s="223">
        <f t="shared" si="5"/>
        <v>4800</v>
      </c>
      <c r="H18" s="223">
        <f t="shared" si="5"/>
        <v>320</v>
      </c>
      <c r="I18" s="223">
        <f t="shared" si="5"/>
        <v>150</v>
      </c>
      <c r="J18" s="223">
        <f t="shared" si="5"/>
        <v>7594</v>
      </c>
      <c r="K18" s="223">
        <f t="shared" si="5"/>
        <v>40</v>
      </c>
      <c r="L18" s="223">
        <f t="shared" si="5"/>
        <v>4920</v>
      </c>
      <c r="M18" s="223">
        <f t="shared" si="5"/>
        <v>500</v>
      </c>
      <c r="N18" s="223">
        <f t="shared" si="5"/>
        <v>129</v>
      </c>
      <c r="O18" s="225">
        <f t="shared" si="2"/>
        <v>438171</v>
      </c>
    </row>
    <row r="19" spans="1:15" ht="15">
      <c r="A19" s="227" t="s">
        <v>503</v>
      </c>
      <c r="B19" s="254" t="s">
        <v>504</v>
      </c>
      <c r="C19" s="256">
        <v>60000</v>
      </c>
      <c r="D19" s="255"/>
      <c r="E19" s="255"/>
      <c r="F19" s="257"/>
      <c r="G19" s="255"/>
      <c r="H19" s="257"/>
      <c r="I19" s="257"/>
      <c r="J19" s="257"/>
      <c r="K19" s="257"/>
      <c r="L19" s="257"/>
      <c r="M19" s="257"/>
      <c r="N19" s="257"/>
      <c r="O19" s="231">
        <f t="shared" si="2"/>
        <v>60000</v>
      </c>
    </row>
    <row r="20" spans="1:15" ht="30">
      <c r="A20" s="227" t="s">
        <v>168</v>
      </c>
      <c r="B20" s="228" t="s">
        <v>169</v>
      </c>
      <c r="C20" s="229"/>
      <c r="D20" s="229"/>
      <c r="E20" s="229"/>
      <c r="F20" s="230"/>
      <c r="G20" s="258"/>
      <c r="H20" s="258"/>
      <c r="I20" s="259"/>
      <c r="J20" s="259"/>
      <c r="K20" s="259"/>
      <c r="L20" s="259"/>
      <c r="M20" s="259"/>
      <c r="N20" s="260"/>
      <c r="O20" s="231">
        <f t="shared" si="2"/>
        <v>0</v>
      </c>
    </row>
    <row r="21" spans="1:15" ht="30">
      <c r="A21" s="238" t="s">
        <v>48</v>
      </c>
      <c r="B21" s="233" t="s">
        <v>49</v>
      </c>
      <c r="C21" s="234">
        <v>11920</v>
      </c>
      <c r="D21" s="234">
        <v>200</v>
      </c>
      <c r="E21" s="234"/>
      <c r="F21" s="236"/>
      <c r="G21" s="261"/>
      <c r="H21" s="262">
        <v>200</v>
      </c>
      <c r="I21" s="263">
        <v>150</v>
      </c>
      <c r="J21" s="263">
        <v>2200</v>
      </c>
      <c r="K21" s="263">
        <v>40</v>
      </c>
      <c r="L21" s="263">
        <v>200</v>
      </c>
      <c r="M21" s="263">
        <v>200</v>
      </c>
      <c r="N21" s="264">
        <v>100</v>
      </c>
      <c r="O21" s="231">
        <f t="shared" si="2"/>
        <v>15210</v>
      </c>
    </row>
    <row r="22" spans="1:15" ht="15">
      <c r="A22" s="238" t="s">
        <v>30</v>
      </c>
      <c r="B22" s="233" t="s">
        <v>29</v>
      </c>
      <c r="C22" s="234">
        <v>16400</v>
      </c>
      <c r="D22" s="234"/>
      <c r="E22" s="234"/>
      <c r="F22" s="236"/>
      <c r="G22" s="262">
        <v>1300</v>
      </c>
      <c r="H22" s="262">
        <v>120</v>
      </c>
      <c r="I22" s="263"/>
      <c r="J22" s="263">
        <v>1458</v>
      </c>
      <c r="K22" s="263"/>
      <c r="L22" s="263">
        <v>200</v>
      </c>
      <c r="M22" s="263">
        <v>100</v>
      </c>
      <c r="N22" s="264">
        <v>29</v>
      </c>
      <c r="O22" s="231">
        <f t="shared" si="2"/>
        <v>19607</v>
      </c>
    </row>
    <row r="23" spans="1:15" ht="15">
      <c r="A23" s="238" t="s">
        <v>170</v>
      </c>
      <c r="B23" s="233" t="s">
        <v>171</v>
      </c>
      <c r="C23" s="234">
        <v>32000</v>
      </c>
      <c r="D23" s="234"/>
      <c r="E23" s="234"/>
      <c r="F23" s="236"/>
      <c r="G23" s="262">
        <v>500</v>
      </c>
      <c r="H23" s="262"/>
      <c r="I23" s="263"/>
      <c r="J23" s="263">
        <v>800</v>
      </c>
      <c r="K23" s="263"/>
      <c r="L23" s="263"/>
      <c r="M23" s="263"/>
      <c r="N23" s="264"/>
      <c r="O23" s="231">
        <f t="shared" si="2"/>
        <v>33300</v>
      </c>
    </row>
    <row r="24" spans="1:15" ht="15">
      <c r="A24" s="238" t="s">
        <v>172</v>
      </c>
      <c r="B24" s="233" t="s">
        <v>50</v>
      </c>
      <c r="C24" s="234">
        <f>27500+15295</f>
        <v>42795</v>
      </c>
      <c r="D24" s="234"/>
      <c r="E24" s="234"/>
      <c r="F24" s="236"/>
      <c r="G24" s="262"/>
      <c r="H24" s="261"/>
      <c r="I24" s="263"/>
      <c r="J24" s="263"/>
      <c r="K24" s="263"/>
      <c r="L24" s="263"/>
      <c r="M24" s="263">
        <v>200</v>
      </c>
      <c r="N24" s="264"/>
      <c r="O24" s="231">
        <f t="shared" si="2"/>
        <v>42995</v>
      </c>
    </row>
    <row r="25" spans="1:15" ht="27.75" customHeight="1">
      <c r="A25" s="238" t="s">
        <v>155</v>
      </c>
      <c r="B25" s="233" t="s">
        <v>340</v>
      </c>
      <c r="C25" s="234">
        <f>8000+248403</f>
        <v>256403</v>
      </c>
      <c r="D25" s="234"/>
      <c r="E25" s="234"/>
      <c r="F25" s="236"/>
      <c r="G25" s="234">
        <v>3000</v>
      </c>
      <c r="H25" s="236"/>
      <c r="I25" s="236"/>
      <c r="J25" s="263">
        <v>3136</v>
      </c>
      <c r="K25" s="236"/>
      <c r="L25" s="561">
        <f>3000+1520</f>
        <v>4520</v>
      </c>
      <c r="M25" s="236"/>
      <c r="N25" s="236"/>
      <c r="O25" s="231">
        <f t="shared" si="2"/>
        <v>267059</v>
      </c>
    </row>
    <row r="26" spans="1:15" ht="58.5" thickBot="1">
      <c r="A26" s="265" t="s">
        <v>348</v>
      </c>
      <c r="B26" s="266" t="s">
        <v>347</v>
      </c>
      <c r="C26" s="267">
        <v>35000</v>
      </c>
      <c r="D26" s="267"/>
      <c r="E26" s="267"/>
      <c r="F26" s="268"/>
      <c r="G26" s="267"/>
      <c r="H26" s="268"/>
      <c r="I26" s="268"/>
      <c r="J26" s="269"/>
      <c r="K26" s="268"/>
      <c r="L26" s="269"/>
      <c r="M26" s="268"/>
      <c r="N26" s="268"/>
      <c r="O26" s="231">
        <f t="shared" si="2"/>
        <v>35000</v>
      </c>
    </row>
    <row r="27" spans="1:15" ht="15.75" thickBot="1">
      <c r="A27" s="270" t="s">
        <v>51</v>
      </c>
      <c r="B27" s="222" t="s">
        <v>52</v>
      </c>
      <c r="C27" s="223">
        <f aca="true" t="shared" si="6" ref="C27:N27">SUM(C28:C28)</f>
        <v>17376499</v>
      </c>
      <c r="D27" s="223">
        <f t="shared" si="6"/>
        <v>0</v>
      </c>
      <c r="E27" s="223">
        <f t="shared" si="6"/>
        <v>1500</v>
      </c>
      <c r="F27" s="224">
        <f t="shared" si="6"/>
        <v>0</v>
      </c>
      <c r="G27" s="223">
        <f t="shared" si="6"/>
        <v>0</v>
      </c>
      <c r="H27" s="223">
        <f t="shared" si="6"/>
        <v>0</v>
      </c>
      <c r="I27" s="223">
        <f t="shared" si="6"/>
        <v>0</v>
      </c>
      <c r="J27" s="223">
        <f t="shared" si="6"/>
        <v>70386</v>
      </c>
      <c r="K27" s="223">
        <f t="shared" si="6"/>
        <v>0</v>
      </c>
      <c r="L27" s="223">
        <f t="shared" si="6"/>
        <v>6740</v>
      </c>
      <c r="M27" s="223">
        <f t="shared" si="6"/>
        <v>0</v>
      </c>
      <c r="N27" s="223">
        <f t="shared" si="6"/>
        <v>0</v>
      </c>
      <c r="O27" s="225">
        <f t="shared" si="2"/>
        <v>17455125</v>
      </c>
    </row>
    <row r="28" spans="1:15" ht="15.75" customHeight="1" thickBot="1">
      <c r="A28" s="271" t="s">
        <v>232</v>
      </c>
      <c r="B28" s="272" t="s">
        <v>238</v>
      </c>
      <c r="C28" s="273">
        <f>14648018+2728481</f>
        <v>17376499</v>
      </c>
      <c r="D28" s="229"/>
      <c r="E28" s="229">
        <v>1500</v>
      </c>
      <c r="F28" s="230"/>
      <c r="G28" s="229"/>
      <c r="H28" s="230"/>
      <c r="I28" s="230"/>
      <c r="J28" s="534">
        <f>45550+24836</f>
        <v>70386</v>
      </c>
      <c r="K28" s="230"/>
      <c r="L28" s="230">
        <v>6740</v>
      </c>
      <c r="M28" s="230"/>
      <c r="N28" s="230"/>
      <c r="O28" s="231">
        <f t="shared" si="2"/>
        <v>17455125</v>
      </c>
    </row>
    <row r="29" spans="1:15" ht="15.75" thickBot="1">
      <c r="A29" s="270" t="s">
        <v>53</v>
      </c>
      <c r="B29" s="222" t="s">
        <v>54</v>
      </c>
      <c r="C29" s="224">
        <f>SUM(C30:C32)</f>
        <v>793088</v>
      </c>
      <c r="D29" s="224">
        <f aca="true" t="shared" si="7" ref="D29:N29">SUM(D30:D32)</f>
        <v>0</v>
      </c>
      <c r="E29" s="224">
        <f t="shared" si="7"/>
        <v>0</v>
      </c>
      <c r="F29" s="224">
        <f t="shared" si="7"/>
        <v>0</v>
      </c>
      <c r="G29" s="223">
        <f t="shared" si="7"/>
        <v>0</v>
      </c>
      <c r="H29" s="223">
        <f t="shared" si="7"/>
        <v>0</v>
      </c>
      <c r="I29" s="223">
        <f t="shared" si="7"/>
        <v>0</v>
      </c>
      <c r="J29" s="223">
        <f t="shared" si="7"/>
        <v>87074</v>
      </c>
      <c r="K29" s="223">
        <f t="shared" si="7"/>
        <v>0</v>
      </c>
      <c r="L29" s="223">
        <f t="shared" si="7"/>
        <v>0</v>
      </c>
      <c r="M29" s="223">
        <f t="shared" si="7"/>
        <v>0</v>
      </c>
      <c r="N29" s="223">
        <f t="shared" si="7"/>
        <v>0</v>
      </c>
      <c r="O29" s="225">
        <f t="shared" si="2"/>
        <v>880162</v>
      </c>
    </row>
    <row r="30" spans="1:15" ht="30">
      <c r="A30" s="227" t="s">
        <v>173</v>
      </c>
      <c r="B30" s="228" t="s">
        <v>239</v>
      </c>
      <c r="C30" s="230"/>
      <c r="D30" s="230"/>
      <c r="E30" s="230"/>
      <c r="F30" s="230"/>
      <c r="G30" s="229"/>
      <c r="H30" s="230"/>
      <c r="I30" s="230"/>
      <c r="J30" s="230"/>
      <c r="K30" s="230"/>
      <c r="L30" s="230"/>
      <c r="M30" s="230"/>
      <c r="N30" s="230"/>
      <c r="O30" s="231">
        <f t="shared" si="2"/>
        <v>0</v>
      </c>
    </row>
    <row r="31" spans="1:15" ht="30">
      <c r="A31" s="238" t="s">
        <v>55</v>
      </c>
      <c r="B31" s="233" t="s">
        <v>240</v>
      </c>
      <c r="C31" s="236">
        <f>550000+243088</f>
        <v>793088</v>
      </c>
      <c r="D31" s="236"/>
      <c r="E31" s="236"/>
      <c r="F31" s="236"/>
      <c r="G31" s="234"/>
      <c r="H31" s="236"/>
      <c r="I31" s="236"/>
      <c r="J31" s="236">
        <v>87074</v>
      </c>
      <c r="K31" s="236"/>
      <c r="L31" s="234"/>
      <c r="M31" s="236"/>
      <c r="N31" s="236"/>
      <c r="O31" s="231">
        <f t="shared" si="2"/>
        <v>880162</v>
      </c>
    </row>
    <row r="32" spans="1:15" ht="26.25" customHeight="1" thickBot="1">
      <c r="A32" s="246" t="s">
        <v>56</v>
      </c>
      <c r="B32" s="584" t="s">
        <v>423</v>
      </c>
      <c r="C32" s="248"/>
      <c r="D32" s="248"/>
      <c r="E32" s="248"/>
      <c r="F32" s="249"/>
      <c r="G32" s="274"/>
      <c r="H32" s="248"/>
      <c r="I32" s="275"/>
      <c r="J32" s="248"/>
      <c r="K32" s="249"/>
      <c r="L32" s="276"/>
      <c r="M32" s="277"/>
      <c r="N32" s="278"/>
      <c r="O32" s="253">
        <f t="shared" si="2"/>
        <v>0</v>
      </c>
    </row>
    <row r="33" spans="1:15" ht="15.75" thickBot="1">
      <c r="A33" s="270" t="s">
        <v>57</v>
      </c>
      <c r="B33" s="222" t="s">
        <v>58</v>
      </c>
      <c r="C33" s="224">
        <f aca="true" t="shared" si="8" ref="C33:N33">SUM(C34,C35,C42)</f>
        <v>521566</v>
      </c>
      <c r="D33" s="224">
        <f t="shared" si="8"/>
        <v>2187371</v>
      </c>
      <c r="E33" s="224">
        <f t="shared" si="8"/>
        <v>192106</v>
      </c>
      <c r="F33" s="224">
        <f t="shared" si="8"/>
        <v>253196</v>
      </c>
      <c r="G33" s="224">
        <f t="shared" si="8"/>
        <v>64138</v>
      </c>
      <c r="H33" s="224">
        <f>SUM(H34,H35,H42)</f>
        <v>99340</v>
      </c>
      <c r="I33" s="224">
        <f t="shared" si="8"/>
        <v>118770</v>
      </c>
      <c r="J33" s="224">
        <f t="shared" si="8"/>
        <v>628852</v>
      </c>
      <c r="K33" s="224">
        <f t="shared" si="8"/>
        <v>12622</v>
      </c>
      <c r="L33" s="224">
        <f t="shared" si="8"/>
        <v>12652</v>
      </c>
      <c r="M33" s="224">
        <f t="shared" si="8"/>
        <v>12800</v>
      </c>
      <c r="N33" s="224">
        <f t="shared" si="8"/>
        <v>47000</v>
      </c>
      <c r="O33" s="225">
        <f>SUM(C33:N33)</f>
        <v>4150413</v>
      </c>
    </row>
    <row r="34" spans="1:15" ht="31.5">
      <c r="A34" s="279" t="s">
        <v>210</v>
      </c>
      <c r="B34" s="280" t="s">
        <v>211</v>
      </c>
      <c r="C34" s="281">
        <v>108119</v>
      </c>
      <c r="D34" s="229"/>
      <c r="E34" s="230"/>
      <c r="F34" s="230"/>
      <c r="G34" s="282"/>
      <c r="H34" s="282"/>
      <c r="I34" s="259"/>
      <c r="J34" s="259"/>
      <c r="K34" s="259"/>
      <c r="L34" s="259"/>
      <c r="M34" s="259"/>
      <c r="N34" s="260"/>
      <c r="O34" s="231">
        <f t="shared" si="2"/>
        <v>108119</v>
      </c>
    </row>
    <row r="35" spans="1:15" ht="43.5">
      <c r="A35" s="283" t="s">
        <v>59</v>
      </c>
      <c r="B35" s="284" t="s">
        <v>241</v>
      </c>
      <c r="C35" s="285">
        <f aca="true" t="shared" si="9" ref="C35:N35">SUM(C36:C41)</f>
        <v>413447</v>
      </c>
      <c r="D35" s="285">
        <f t="shared" si="9"/>
        <v>2187371</v>
      </c>
      <c r="E35" s="285">
        <f t="shared" si="9"/>
        <v>190776</v>
      </c>
      <c r="F35" s="285">
        <f t="shared" si="9"/>
        <v>253196</v>
      </c>
      <c r="G35" s="285">
        <f t="shared" si="9"/>
        <v>64138</v>
      </c>
      <c r="H35" s="285">
        <f t="shared" si="9"/>
        <v>98340</v>
      </c>
      <c r="I35" s="285">
        <f t="shared" si="9"/>
        <v>118770</v>
      </c>
      <c r="J35" s="286">
        <f t="shared" si="9"/>
        <v>628852</v>
      </c>
      <c r="K35" s="285">
        <f t="shared" si="9"/>
        <v>10622</v>
      </c>
      <c r="L35" s="285">
        <f t="shared" si="9"/>
        <v>12652</v>
      </c>
      <c r="M35" s="285">
        <f t="shared" si="9"/>
        <v>12800</v>
      </c>
      <c r="N35" s="286">
        <f t="shared" si="9"/>
        <v>47000</v>
      </c>
      <c r="O35" s="231">
        <f>SUM(C35:N35)</f>
        <v>4037964</v>
      </c>
    </row>
    <row r="36" spans="1:15" ht="18" customHeight="1">
      <c r="A36" s="232" t="s">
        <v>505</v>
      </c>
      <c r="B36" s="233" t="s">
        <v>578</v>
      </c>
      <c r="C36" s="287"/>
      <c r="D36" s="287"/>
      <c r="E36" s="286"/>
      <c r="F36" s="288"/>
      <c r="G36" s="285"/>
      <c r="H36" s="286"/>
      <c r="I36" s="285"/>
      <c r="J36" s="241">
        <v>480</v>
      </c>
      <c r="K36" s="285"/>
      <c r="L36" s="286"/>
      <c r="M36" s="285"/>
      <c r="N36" s="286"/>
      <c r="O36" s="231"/>
    </row>
    <row r="37" spans="1:15" ht="15">
      <c r="A37" s="232" t="s">
        <v>174</v>
      </c>
      <c r="B37" s="233" t="s">
        <v>175</v>
      </c>
      <c r="C37" s="239">
        <v>197600</v>
      </c>
      <c r="D37" s="239"/>
      <c r="E37" s="241"/>
      <c r="F37" s="236"/>
      <c r="G37" s="289">
        <v>50500</v>
      </c>
      <c r="H37" s="285"/>
      <c r="I37" s="234">
        <v>8455</v>
      </c>
      <c r="J37" s="234">
        <v>67778</v>
      </c>
      <c r="K37" s="285"/>
      <c r="L37" s="285"/>
      <c r="M37" s="285"/>
      <c r="N37" s="290">
        <v>5000</v>
      </c>
      <c r="O37" s="231">
        <f t="shared" si="2"/>
        <v>329333</v>
      </c>
    </row>
    <row r="38" spans="1:15" ht="15">
      <c r="A38" s="232" t="s">
        <v>579</v>
      </c>
      <c r="B38" s="233" t="s">
        <v>424</v>
      </c>
      <c r="C38" s="234"/>
      <c r="D38" s="234"/>
      <c r="E38" s="234"/>
      <c r="F38" s="236"/>
      <c r="G38" s="261"/>
      <c r="H38" s="261"/>
      <c r="I38" s="263"/>
      <c r="J38" s="263"/>
      <c r="K38" s="263"/>
      <c r="L38" s="263"/>
      <c r="M38" s="263"/>
      <c r="N38" s="264"/>
      <c r="O38" s="231">
        <f t="shared" si="2"/>
        <v>0</v>
      </c>
    </row>
    <row r="39" spans="1:15" ht="30">
      <c r="A39" s="232" t="s">
        <v>176</v>
      </c>
      <c r="B39" s="233" t="s">
        <v>580</v>
      </c>
      <c r="C39" s="234"/>
      <c r="D39" s="234"/>
      <c r="E39" s="234"/>
      <c r="F39" s="236"/>
      <c r="G39" s="261"/>
      <c r="H39" s="262">
        <v>10</v>
      </c>
      <c r="I39" s="263"/>
      <c r="J39" s="263">
        <v>30</v>
      </c>
      <c r="K39" s="263"/>
      <c r="L39" s="263"/>
      <c r="M39" s="263"/>
      <c r="N39" s="264"/>
      <c r="O39" s="231">
        <f t="shared" si="2"/>
        <v>40</v>
      </c>
    </row>
    <row r="40" spans="1:15" ht="15">
      <c r="A40" s="232" t="s">
        <v>60</v>
      </c>
      <c r="B40" s="233" t="s">
        <v>61</v>
      </c>
      <c r="C40" s="234">
        <f>169824+20000</f>
        <v>189824</v>
      </c>
      <c r="D40" s="234">
        <v>28824</v>
      </c>
      <c r="E40" s="234">
        <v>63800</v>
      </c>
      <c r="F40" s="291">
        <v>9828</v>
      </c>
      <c r="G40" s="262">
        <f>3600+420</f>
        <v>4020</v>
      </c>
      <c r="H40" s="262">
        <v>10310</v>
      </c>
      <c r="I40" s="263">
        <f>6530+70</f>
        <v>6600</v>
      </c>
      <c r="J40" s="263">
        <v>30175</v>
      </c>
      <c r="K40" s="263">
        <v>2925</v>
      </c>
      <c r="L40" s="263">
        <v>2240</v>
      </c>
      <c r="M40" s="263">
        <v>3800</v>
      </c>
      <c r="N40" s="264">
        <f>5000+5000</f>
        <v>10000</v>
      </c>
      <c r="O40" s="231">
        <f t="shared" si="2"/>
        <v>362346</v>
      </c>
    </row>
    <row r="41" spans="1:15" ht="30">
      <c r="A41" s="232" t="s">
        <v>62</v>
      </c>
      <c r="B41" s="233" t="s">
        <v>63</v>
      </c>
      <c r="C41" s="234">
        <f>20400+5623</f>
        <v>26023</v>
      </c>
      <c r="D41" s="234">
        <v>2158547</v>
      </c>
      <c r="E41" s="234">
        <f>134924-7948</f>
        <v>126976</v>
      </c>
      <c r="F41" s="291">
        <f>241518+1850</f>
        <v>243368</v>
      </c>
      <c r="G41" s="245">
        <f>8210+1408</f>
        <v>9618</v>
      </c>
      <c r="H41" s="262">
        <v>88020</v>
      </c>
      <c r="I41" s="243">
        <v>103715</v>
      </c>
      <c r="J41" s="243">
        <v>530389</v>
      </c>
      <c r="K41" s="243">
        <f>7457+240</f>
        <v>7697</v>
      </c>
      <c r="L41" s="243">
        <v>10412</v>
      </c>
      <c r="M41" s="243">
        <v>9000</v>
      </c>
      <c r="N41" s="243">
        <v>32000</v>
      </c>
      <c r="O41" s="231">
        <f>SUM(C41:N41)</f>
        <v>3345765</v>
      </c>
    </row>
    <row r="42" spans="1:15" ht="30" thickBot="1">
      <c r="A42" s="283" t="s">
        <v>374</v>
      </c>
      <c r="B42" s="284" t="s">
        <v>375</v>
      </c>
      <c r="C42" s="267"/>
      <c r="D42" s="267"/>
      <c r="E42" s="267">
        <v>1330</v>
      </c>
      <c r="F42" s="268"/>
      <c r="G42" s="292"/>
      <c r="H42" s="293">
        <v>1000</v>
      </c>
      <c r="I42" s="294"/>
      <c r="J42" s="294"/>
      <c r="K42" s="294">
        <v>2000</v>
      </c>
      <c r="L42" s="294"/>
      <c r="M42" s="294"/>
      <c r="N42" s="294"/>
      <c r="O42" s="231">
        <f>SUM(C42:N42)</f>
        <v>4330</v>
      </c>
    </row>
    <row r="43" spans="1:15" ht="15.75" thickBot="1">
      <c r="A43" s="295"/>
      <c r="B43" s="296" t="s">
        <v>64</v>
      </c>
      <c r="C43" s="297">
        <f>SUM(C8+C18+C26+C27+C29+C33)</f>
        <v>44077577</v>
      </c>
      <c r="D43" s="297">
        <f aca="true" t="shared" si="10" ref="D43:N43">SUM(D8+D18+D26+D27+D29+D33)</f>
        <v>2187571</v>
      </c>
      <c r="E43" s="297">
        <f t="shared" si="10"/>
        <v>193606</v>
      </c>
      <c r="F43" s="298">
        <f t="shared" si="10"/>
        <v>253196</v>
      </c>
      <c r="G43" s="297">
        <f t="shared" si="10"/>
        <v>174238</v>
      </c>
      <c r="H43" s="297">
        <f>SUM(H8+H18+H26+H27+H29+H33)</f>
        <v>149800</v>
      </c>
      <c r="I43" s="297">
        <f t="shared" si="10"/>
        <v>163620</v>
      </c>
      <c r="J43" s="297">
        <f t="shared" si="10"/>
        <v>887117</v>
      </c>
      <c r="K43" s="297">
        <f t="shared" si="10"/>
        <v>62027</v>
      </c>
      <c r="L43" s="297">
        <f t="shared" si="10"/>
        <v>76692</v>
      </c>
      <c r="M43" s="297">
        <f t="shared" si="10"/>
        <v>58982</v>
      </c>
      <c r="N43" s="297">
        <f t="shared" si="10"/>
        <v>109159</v>
      </c>
      <c r="O43" s="225">
        <f>SUM(C43:N43)</f>
        <v>48393585</v>
      </c>
    </row>
    <row r="44" spans="1:15" ht="15">
      <c r="A44" s="259" t="s">
        <v>581</v>
      </c>
      <c r="B44" s="299" t="s">
        <v>65</v>
      </c>
      <c r="C44" s="229">
        <f>18881976-3413781</f>
        <v>15468195</v>
      </c>
      <c r="D44" s="229"/>
      <c r="E44" s="229"/>
      <c r="F44" s="230"/>
      <c r="G44" s="258"/>
      <c r="H44" s="282"/>
      <c r="I44" s="259"/>
      <c r="J44" s="259"/>
      <c r="K44" s="259"/>
      <c r="L44" s="259"/>
      <c r="M44" s="260"/>
      <c r="N44" s="259"/>
      <c r="O44" s="231">
        <f t="shared" si="2"/>
        <v>15468195</v>
      </c>
    </row>
    <row r="45" spans="1:15" ht="15">
      <c r="A45" s="300"/>
      <c r="B45" s="301" t="s">
        <v>66</v>
      </c>
      <c r="C45" s="302">
        <f aca="true" t="shared" si="11" ref="C45:N45">SUM(C43:C44)</f>
        <v>59545772</v>
      </c>
      <c r="D45" s="285">
        <f t="shared" si="11"/>
        <v>2187571</v>
      </c>
      <c r="E45" s="285">
        <f t="shared" si="11"/>
        <v>193606</v>
      </c>
      <c r="F45" s="288">
        <f t="shared" si="11"/>
        <v>253196</v>
      </c>
      <c r="G45" s="285">
        <f t="shared" si="11"/>
        <v>174238</v>
      </c>
      <c r="H45" s="285">
        <f t="shared" si="11"/>
        <v>149800</v>
      </c>
      <c r="I45" s="285">
        <f t="shared" si="11"/>
        <v>163620</v>
      </c>
      <c r="J45" s="285">
        <f t="shared" si="11"/>
        <v>887117</v>
      </c>
      <c r="K45" s="285">
        <f t="shared" si="11"/>
        <v>62027</v>
      </c>
      <c r="L45" s="285">
        <f t="shared" si="11"/>
        <v>76692</v>
      </c>
      <c r="M45" s="288">
        <f t="shared" si="11"/>
        <v>58982</v>
      </c>
      <c r="N45" s="285">
        <f t="shared" si="11"/>
        <v>109159</v>
      </c>
      <c r="O45" s="231">
        <f t="shared" si="2"/>
        <v>63861780</v>
      </c>
    </row>
    <row r="46" spans="1:15" ht="18" customHeight="1">
      <c r="A46" s="263" t="s">
        <v>368</v>
      </c>
      <c r="B46" s="303" t="s">
        <v>582</v>
      </c>
      <c r="C46" s="304">
        <v>4343123</v>
      </c>
      <c r="D46" s="234">
        <v>1910318</v>
      </c>
      <c r="E46" s="234">
        <v>135626</v>
      </c>
      <c r="F46" s="236">
        <v>50842</v>
      </c>
      <c r="G46" s="234">
        <v>209272</v>
      </c>
      <c r="H46" s="234">
        <v>90551</v>
      </c>
      <c r="I46" s="234">
        <v>180676</v>
      </c>
      <c r="J46" s="234">
        <f>247250+15</f>
        <v>247265</v>
      </c>
      <c r="K46" s="234">
        <v>36033</v>
      </c>
      <c r="L46" s="234">
        <v>12705</v>
      </c>
      <c r="M46" s="236">
        <v>21379</v>
      </c>
      <c r="N46" s="234">
        <v>37498</v>
      </c>
      <c r="O46" s="231">
        <f t="shared" si="2"/>
        <v>7275288</v>
      </c>
    </row>
    <row r="47" spans="1:15" ht="15">
      <c r="A47" s="263" t="s">
        <v>212</v>
      </c>
      <c r="B47" s="210" t="s">
        <v>213</v>
      </c>
      <c r="C47" s="304"/>
      <c r="D47" s="234"/>
      <c r="E47" s="234"/>
      <c r="F47" s="236"/>
      <c r="G47" s="262"/>
      <c r="H47" s="262"/>
      <c r="I47" s="263"/>
      <c r="J47" s="263"/>
      <c r="K47" s="263"/>
      <c r="L47" s="263"/>
      <c r="M47" s="264"/>
      <c r="N47" s="263"/>
      <c r="O47" s="231">
        <f t="shared" si="2"/>
        <v>0</v>
      </c>
    </row>
    <row r="48" spans="1:15" ht="15">
      <c r="A48" s="300"/>
      <c r="B48" s="303" t="s">
        <v>67</v>
      </c>
      <c r="C48" s="302">
        <f>SUM(C45:C46)</f>
        <v>63888895</v>
      </c>
      <c r="D48" s="285">
        <f>SUM(D45:D46)</f>
        <v>4097889</v>
      </c>
      <c r="E48" s="285">
        <f>SUM(E45:E46)</f>
        <v>329232</v>
      </c>
      <c r="F48" s="288">
        <f aca="true" t="shared" si="12" ref="F48:N48">SUM(F45:F47)</f>
        <v>304038</v>
      </c>
      <c r="G48" s="285">
        <f t="shared" si="12"/>
        <v>383510</v>
      </c>
      <c r="H48" s="285">
        <f t="shared" si="12"/>
        <v>240351</v>
      </c>
      <c r="I48" s="285">
        <f t="shared" si="12"/>
        <v>344296</v>
      </c>
      <c r="J48" s="285">
        <f t="shared" si="12"/>
        <v>1134382</v>
      </c>
      <c r="K48" s="285">
        <f t="shared" si="12"/>
        <v>98060</v>
      </c>
      <c r="L48" s="285">
        <f t="shared" si="12"/>
        <v>89397</v>
      </c>
      <c r="M48" s="285">
        <f t="shared" si="12"/>
        <v>80361</v>
      </c>
      <c r="N48" s="285">
        <f t="shared" si="12"/>
        <v>146657</v>
      </c>
      <c r="O48" s="231">
        <f t="shared" si="2"/>
        <v>71137068</v>
      </c>
    </row>
    <row r="49" spans="1:15" ht="15">
      <c r="A49" s="213"/>
      <c r="B49" s="215"/>
      <c r="C49" s="305"/>
      <c r="D49" s="306"/>
      <c r="E49" s="306"/>
      <c r="F49" s="306"/>
      <c r="G49" s="307"/>
      <c r="H49" s="307"/>
      <c r="I49" s="307"/>
      <c r="J49" s="307"/>
      <c r="K49" s="307"/>
      <c r="L49" s="307"/>
      <c r="M49" s="307"/>
      <c r="N49" s="307"/>
      <c r="O49" s="307"/>
    </row>
    <row r="50" spans="2:15" ht="15">
      <c r="B50" s="215"/>
      <c r="C50" s="308"/>
      <c r="D50" s="309"/>
      <c r="E50" s="309"/>
      <c r="F50" s="309"/>
      <c r="G50" s="310"/>
      <c r="H50" s="310"/>
      <c r="I50" s="310"/>
      <c r="J50" s="310"/>
      <c r="K50" s="226"/>
      <c r="L50" s="226"/>
      <c r="M50" s="226"/>
      <c r="N50" s="226"/>
      <c r="O50" s="226"/>
    </row>
    <row r="51" spans="2:4" ht="15">
      <c r="B51" s="220" t="s">
        <v>365</v>
      </c>
      <c r="D51" s="212" t="s">
        <v>36</v>
      </c>
    </row>
    <row r="52" ht="15">
      <c r="B52" s="220"/>
    </row>
    <row r="53" ht="15">
      <c r="B53" s="220"/>
    </row>
    <row r="54" spans="1:6" ht="15">
      <c r="A54" s="213"/>
      <c r="B54" s="215"/>
      <c r="D54" s="194"/>
      <c r="E54" s="190" t="s">
        <v>68</v>
      </c>
      <c r="F54" s="190"/>
    </row>
    <row r="55" spans="1:6" ht="15">
      <c r="A55" s="213"/>
      <c r="B55" s="215"/>
      <c r="E55" s="214" t="s">
        <v>918</v>
      </c>
      <c r="F55" s="214"/>
    </row>
    <row r="56" spans="1:6" ht="15">
      <c r="A56" s="311"/>
      <c r="B56" s="312"/>
      <c r="E56" s="214" t="s">
        <v>920</v>
      </c>
      <c r="F56" s="214"/>
    </row>
    <row r="57" spans="1:6" ht="15">
      <c r="A57" s="311"/>
      <c r="B57" s="312"/>
      <c r="E57" s="214"/>
      <c r="F57" s="214"/>
    </row>
    <row r="58" spans="1:4" ht="39.75" customHeight="1" thickBot="1">
      <c r="A58" s="586" t="s">
        <v>583</v>
      </c>
      <c r="B58" s="586"/>
      <c r="C58" s="586"/>
      <c r="D58" s="586"/>
    </row>
    <row r="59" spans="1:15" ht="90.75" thickBot="1">
      <c r="A59" s="216" t="s">
        <v>23</v>
      </c>
      <c r="B59" s="217" t="s">
        <v>162</v>
      </c>
      <c r="C59" s="219" t="s">
        <v>565</v>
      </c>
      <c r="D59" s="73" t="s">
        <v>566</v>
      </c>
      <c r="E59" s="218" t="s">
        <v>567</v>
      </c>
      <c r="F59" s="218" t="s">
        <v>568</v>
      </c>
      <c r="G59" s="191" t="s">
        <v>569</v>
      </c>
      <c r="H59" s="191" t="s">
        <v>570</v>
      </c>
      <c r="I59" s="191" t="s">
        <v>571</v>
      </c>
      <c r="J59" s="191" t="s">
        <v>572</v>
      </c>
      <c r="K59" s="191" t="s">
        <v>573</v>
      </c>
      <c r="L59" s="191" t="s">
        <v>574</v>
      </c>
      <c r="M59" s="191" t="s">
        <v>575</v>
      </c>
      <c r="N59" s="192" t="s">
        <v>576</v>
      </c>
      <c r="O59" s="193" t="s">
        <v>577</v>
      </c>
    </row>
    <row r="60" spans="1:15" ht="15.75" thickBot="1">
      <c r="A60" s="313" t="s">
        <v>69</v>
      </c>
      <c r="B60" s="222" t="s">
        <v>70</v>
      </c>
      <c r="C60" s="224">
        <f>C61+C62+C63+C65+C66+C71</f>
        <v>3799456</v>
      </c>
      <c r="D60" s="224">
        <f aca="true" t="shared" si="13" ref="D60:N60">D61+D62+D63+D65+D66+D71</f>
        <v>0</v>
      </c>
      <c r="E60" s="224">
        <f t="shared" si="13"/>
        <v>0</v>
      </c>
      <c r="F60" s="224">
        <f t="shared" si="13"/>
        <v>0</v>
      </c>
      <c r="G60" s="224">
        <f t="shared" si="13"/>
        <v>127003</v>
      </c>
      <c r="H60" s="224">
        <f t="shared" si="13"/>
        <v>155344</v>
      </c>
      <c r="I60" s="224">
        <f t="shared" si="13"/>
        <v>120099</v>
      </c>
      <c r="J60" s="224">
        <f t="shared" si="13"/>
        <v>176952</v>
      </c>
      <c r="K60" s="224">
        <f t="shared" si="13"/>
        <v>111949</v>
      </c>
      <c r="L60" s="224">
        <f t="shared" si="13"/>
        <v>61943</v>
      </c>
      <c r="M60" s="224">
        <f t="shared" si="13"/>
        <v>73819</v>
      </c>
      <c r="N60" s="224">
        <f t="shared" si="13"/>
        <v>124417</v>
      </c>
      <c r="O60" s="225">
        <f>SUM(C60:N60)</f>
        <v>4750982</v>
      </c>
    </row>
    <row r="61" spans="1:15" ht="29.25">
      <c r="A61" s="314" t="s">
        <v>242</v>
      </c>
      <c r="B61" s="315" t="s">
        <v>243</v>
      </c>
      <c r="C61" s="316">
        <f>2796704+5729</f>
        <v>2802433</v>
      </c>
      <c r="D61" s="229"/>
      <c r="E61" s="229"/>
      <c r="F61" s="230"/>
      <c r="G61" s="281">
        <f>125443+860</f>
        <v>126303</v>
      </c>
      <c r="H61" s="255">
        <v>145905</v>
      </c>
      <c r="I61" s="255">
        <v>101678</v>
      </c>
      <c r="J61" s="317">
        <v>166798</v>
      </c>
      <c r="K61" s="255">
        <v>106081</v>
      </c>
      <c r="L61" s="562">
        <f>61143+340</f>
        <v>61483</v>
      </c>
      <c r="M61" s="318">
        <v>70619</v>
      </c>
      <c r="N61" s="319">
        <f>111376+400</f>
        <v>111776</v>
      </c>
      <c r="O61" s="320">
        <f>SUM(C61:N61)</f>
        <v>3693076</v>
      </c>
    </row>
    <row r="62" spans="1:15" ht="29.25">
      <c r="A62" s="314" t="s">
        <v>584</v>
      </c>
      <c r="B62" s="315" t="s">
        <v>585</v>
      </c>
      <c r="C62" s="316">
        <f>45859-5597</f>
        <v>40262</v>
      </c>
      <c r="D62" s="230"/>
      <c r="E62" s="229"/>
      <c r="F62" s="230"/>
      <c r="G62" s="281"/>
      <c r="H62" s="281"/>
      <c r="I62" s="281"/>
      <c r="J62" s="319"/>
      <c r="K62" s="316"/>
      <c r="L62" s="316"/>
      <c r="M62" s="285"/>
      <c r="N62" s="319"/>
      <c r="O62" s="231">
        <f>SUM(C62:N62)</f>
        <v>40262</v>
      </c>
    </row>
    <row r="63" spans="1:15" ht="15">
      <c r="A63" s="321" t="s">
        <v>71</v>
      </c>
      <c r="B63" s="284" t="s">
        <v>72</v>
      </c>
      <c r="C63" s="288">
        <f>SUM(C64:C64)</f>
        <v>136571</v>
      </c>
      <c r="D63" s="288">
        <f>SUM(D64:D64)</f>
        <v>0</v>
      </c>
      <c r="E63" s="285"/>
      <c r="F63" s="288"/>
      <c r="G63" s="285">
        <f aca="true" t="shared" si="14" ref="G63:N63">SUM(G64:G64)</f>
        <v>700</v>
      </c>
      <c r="H63" s="285">
        <f t="shared" si="14"/>
        <v>220</v>
      </c>
      <c r="I63" s="285">
        <f t="shared" si="14"/>
        <v>375</v>
      </c>
      <c r="J63" s="288">
        <f t="shared" si="14"/>
        <v>252</v>
      </c>
      <c r="K63" s="288">
        <f t="shared" si="14"/>
        <v>0</v>
      </c>
      <c r="L63" s="288">
        <f t="shared" si="14"/>
        <v>60</v>
      </c>
      <c r="M63" s="288">
        <f t="shared" si="14"/>
        <v>500</v>
      </c>
      <c r="N63" s="288">
        <f t="shared" si="14"/>
        <v>641</v>
      </c>
      <c r="O63" s="322">
        <f aca="true" t="shared" si="15" ref="O63:O128">SUM(C63:N63)</f>
        <v>139319</v>
      </c>
    </row>
    <row r="64" spans="1:15" ht="30">
      <c r="A64" s="323" t="s">
        <v>73</v>
      </c>
      <c r="B64" s="233" t="s">
        <v>74</v>
      </c>
      <c r="C64" s="236">
        <v>136571</v>
      </c>
      <c r="D64" s="234"/>
      <c r="E64" s="234"/>
      <c r="F64" s="236"/>
      <c r="G64" s="263">
        <v>700</v>
      </c>
      <c r="H64" s="262">
        <v>220</v>
      </c>
      <c r="I64" s="262">
        <v>375</v>
      </c>
      <c r="J64" s="263">
        <v>252</v>
      </c>
      <c r="K64" s="263"/>
      <c r="L64" s="263">
        <v>60</v>
      </c>
      <c r="M64" s="263">
        <v>500</v>
      </c>
      <c r="N64" s="263">
        <v>641</v>
      </c>
      <c r="O64" s="322">
        <f t="shared" si="15"/>
        <v>139319</v>
      </c>
    </row>
    <row r="65" spans="1:15" ht="29.25">
      <c r="A65" s="321" t="s">
        <v>244</v>
      </c>
      <c r="B65" s="301" t="s">
        <v>245</v>
      </c>
      <c r="C65" s="236">
        <v>7088</v>
      </c>
      <c r="D65" s="236"/>
      <c r="E65" s="234"/>
      <c r="F65" s="236"/>
      <c r="G65" s="263"/>
      <c r="H65" s="261"/>
      <c r="I65" s="262">
        <v>3558</v>
      </c>
      <c r="J65" s="264"/>
      <c r="K65" s="264"/>
      <c r="L65" s="264"/>
      <c r="M65" s="264"/>
      <c r="N65" s="264"/>
      <c r="O65" s="322">
        <f t="shared" si="15"/>
        <v>10646</v>
      </c>
    </row>
    <row r="66" spans="1:15" ht="29.25">
      <c r="A66" s="321" t="s">
        <v>75</v>
      </c>
      <c r="B66" s="301" t="s">
        <v>76</v>
      </c>
      <c r="C66" s="288">
        <f>SUM(C67:C70)</f>
        <v>769600</v>
      </c>
      <c r="D66" s="288">
        <f aca="true" t="shared" si="16" ref="D66:N66">SUM(D67:D70)</f>
        <v>0</v>
      </c>
      <c r="E66" s="288">
        <f t="shared" si="16"/>
        <v>0</v>
      </c>
      <c r="F66" s="288">
        <f t="shared" si="16"/>
        <v>0</v>
      </c>
      <c r="G66" s="288">
        <f t="shared" si="16"/>
        <v>0</v>
      </c>
      <c r="H66" s="288">
        <f>SUM(H67:H70)</f>
        <v>9219</v>
      </c>
      <c r="I66" s="288">
        <f t="shared" si="16"/>
        <v>12390</v>
      </c>
      <c r="J66" s="288">
        <f t="shared" si="16"/>
        <v>5602</v>
      </c>
      <c r="K66" s="288">
        <f t="shared" si="16"/>
        <v>5868</v>
      </c>
      <c r="L66" s="288">
        <f t="shared" si="16"/>
        <v>400</v>
      </c>
      <c r="M66" s="288">
        <f t="shared" si="16"/>
        <v>2700</v>
      </c>
      <c r="N66" s="288">
        <f t="shared" si="16"/>
        <v>12000</v>
      </c>
      <c r="O66" s="322">
        <f>SUM(C66:N66)</f>
        <v>817779</v>
      </c>
    </row>
    <row r="67" spans="1:15" ht="30">
      <c r="A67" s="325" t="s">
        <v>438</v>
      </c>
      <c r="B67" s="233" t="s">
        <v>77</v>
      </c>
      <c r="C67" s="236">
        <v>550000</v>
      </c>
      <c r="D67" s="234"/>
      <c r="E67" s="234"/>
      <c r="F67" s="236"/>
      <c r="G67" s="261"/>
      <c r="H67" s="261"/>
      <c r="I67" s="261"/>
      <c r="J67" s="263"/>
      <c r="K67" s="263"/>
      <c r="L67" s="263"/>
      <c r="M67" s="263"/>
      <c r="N67" s="264"/>
      <c r="O67" s="322">
        <f t="shared" si="15"/>
        <v>550000</v>
      </c>
    </row>
    <row r="68" spans="1:15" ht="30">
      <c r="A68" s="325" t="s">
        <v>439</v>
      </c>
      <c r="B68" s="233" t="s">
        <v>361</v>
      </c>
      <c r="C68" s="326">
        <f>39600+30000</f>
        <v>69600</v>
      </c>
      <c r="D68" s="234"/>
      <c r="E68" s="234"/>
      <c r="F68" s="236"/>
      <c r="G68" s="262"/>
      <c r="H68" s="262">
        <v>9219</v>
      </c>
      <c r="I68" s="262">
        <v>12390</v>
      </c>
      <c r="J68" s="263">
        <v>5602</v>
      </c>
      <c r="K68" s="263">
        <v>5868</v>
      </c>
      <c r="L68" s="263">
        <v>400</v>
      </c>
      <c r="M68" s="263">
        <v>2700</v>
      </c>
      <c r="N68" s="264">
        <v>12000</v>
      </c>
      <c r="O68" s="322">
        <f t="shared" si="15"/>
        <v>117779</v>
      </c>
    </row>
    <row r="69" spans="1:15" ht="45">
      <c r="A69" s="325" t="s">
        <v>440</v>
      </c>
      <c r="B69" s="247" t="s">
        <v>586</v>
      </c>
      <c r="C69" s="249">
        <v>150000</v>
      </c>
      <c r="D69" s="248"/>
      <c r="E69" s="248"/>
      <c r="F69" s="249"/>
      <c r="G69" s="327"/>
      <c r="H69" s="327"/>
      <c r="I69" s="327"/>
      <c r="J69" s="251"/>
      <c r="K69" s="251"/>
      <c r="L69" s="251"/>
      <c r="M69" s="251"/>
      <c r="N69" s="252"/>
      <c r="O69" s="322">
        <f t="shared" si="15"/>
        <v>150000</v>
      </c>
    </row>
    <row r="70" spans="1:15" ht="15">
      <c r="A70" s="325" t="s">
        <v>532</v>
      </c>
      <c r="B70" s="328" t="s">
        <v>533</v>
      </c>
      <c r="C70" s="329"/>
      <c r="D70" s="248"/>
      <c r="E70" s="248"/>
      <c r="F70" s="249"/>
      <c r="G70" s="327"/>
      <c r="H70" s="327"/>
      <c r="I70" s="327"/>
      <c r="J70" s="251"/>
      <c r="K70" s="251"/>
      <c r="L70" s="251"/>
      <c r="M70" s="251"/>
      <c r="N70" s="252"/>
      <c r="O70" s="322">
        <f t="shared" si="15"/>
        <v>0</v>
      </c>
    </row>
    <row r="71" spans="1:15" s="213" customFormat="1" ht="15" thickBot="1">
      <c r="A71" s="330" t="s">
        <v>78</v>
      </c>
      <c r="B71" s="331" t="s">
        <v>246</v>
      </c>
      <c r="C71" s="563">
        <f>500000-381803-25527-47178-1990</f>
        <v>43502</v>
      </c>
      <c r="D71" s="333"/>
      <c r="E71" s="333"/>
      <c r="F71" s="332"/>
      <c r="G71" s="334"/>
      <c r="H71" s="335"/>
      <c r="I71" s="336">
        <v>2098</v>
      </c>
      <c r="J71" s="337">
        <v>4300</v>
      </c>
      <c r="K71" s="337"/>
      <c r="L71" s="337"/>
      <c r="M71" s="337"/>
      <c r="N71" s="338"/>
      <c r="O71" s="339">
        <f t="shared" si="15"/>
        <v>49900</v>
      </c>
    </row>
    <row r="72" spans="1:15" ht="15.75" thickBot="1">
      <c r="A72" s="340" t="s">
        <v>79</v>
      </c>
      <c r="B72" s="222" t="s">
        <v>80</v>
      </c>
      <c r="C72" s="224">
        <f aca="true" t="shared" si="17" ref="C72:M72">SUM(C73:C74,C76:C77)</f>
        <v>662301</v>
      </c>
      <c r="D72" s="224">
        <f t="shared" si="17"/>
        <v>0</v>
      </c>
      <c r="E72" s="224">
        <f t="shared" si="17"/>
        <v>0</v>
      </c>
      <c r="F72" s="224">
        <f t="shared" si="17"/>
        <v>0</v>
      </c>
      <c r="G72" s="224">
        <f t="shared" si="17"/>
        <v>8382</v>
      </c>
      <c r="H72" s="224">
        <f t="shared" si="17"/>
        <v>0</v>
      </c>
      <c r="I72" s="224">
        <f t="shared" si="17"/>
        <v>0</v>
      </c>
      <c r="J72" s="224">
        <f t="shared" si="17"/>
        <v>4460</v>
      </c>
      <c r="K72" s="224">
        <f t="shared" si="17"/>
        <v>0</v>
      </c>
      <c r="L72" s="224">
        <f t="shared" si="17"/>
        <v>0</v>
      </c>
      <c r="M72" s="224">
        <f t="shared" si="17"/>
        <v>0</v>
      </c>
      <c r="N72" s="224">
        <f>SUM(N73:N74,N76:N77)</f>
        <v>700</v>
      </c>
      <c r="O72" s="225">
        <f t="shared" si="15"/>
        <v>675843</v>
      </c>
    </row>
    <row r="73" spans="1:15" ht="15">
      <c r="A73" s="314" t="s">
        <v>247</v>
      </c>
      <c r="B73" s="315" t="s">
        <v>33</v>
      </c>
      <c r="C73" s="230">
        <v>563761</v>
      </c>
      <c r="D73" s="229"/>
      <c r="E73" s="229"/>
      <c r="F73" s="230"/>
      <c r="G73" s="258"/>
      <c r="H73" s="282"/>
      <c r="I73" s="282"/>
      <c r="J73" s="259"/>
      <c r="K73" s="259"/>
      <c r="L73" s="259"/>
      <c r="M73" s="259"/>
      <c r="N73" s="260"/>
      <c r="O73" s="320">
        <f t="shared" si="15"/>
        <v>563761</v>
      </c>
    </row>
    <row r="74" spans="1:15" ht="29.25">
      <c r="A74" s="341" t="s">
        <v>330</v>
      </c>
      <c r="B74" s="342" t="s">
        <v>334</v>
      </c>
      <c r="C74" s="288">
        <f aca="true" t="shared" si="18" ref="C74:N74">SUM(C75:C75)</f>
        <v>560</v>
      </c>
      <c r="D74" s="288">
        <f t="shared" si="18"/>
        <v>0</v>
      </c>
      <c r="E74" s="288">
        <f t="shared" si="18"/>
        <v>0</v>
      </c>
      <c r="F74" s="288">
        <f t="shared" si="18"/>
        <v>0</v>
      </c>
      <c r="G74" s="288">
        <f t="shared" si="18"/>
        <v>0</v>
      </c>
      <c r="H74" s="288">
        <f t="shared" si="18"/>
        <v>0</v>
      </c>
      <c r="I74" s="288">
        <f t="shared" si="18"/>
        <v>0</v>
      </c>
      <c r="J74" s="288">
        <f t="shared" si="18"/>
        <v>0</v>
      </c>
      <c r="K74" s="288">
        <f t="shared" si="18"/>
        <v>0</v>
      </c>
      <c r="L74" s="288">
        <f t="shared" si="18"/>
        <v>0</v>
      </c>
      <c r="M74" s="288">
        <f t="shared" si="18"/>
        <v>0</v>
      </c>
      <c r="N74" s="343">
        <f t="shared" si="18"/>
        <v>0</v>
      </c>
      <c r="O74" s="231">
        <f>SUM(C74:N74)</f>
        <v>560</v>
      </c>
    </row>
    <row r="75" spans="1:15" ht="15">
      <c r="A75" s="344" t="s">
        <v>441</v>
      </c>
      <c r="B75" s="81" t="s">
        <v>587</v>
      </c>
      <c r="C75" s="268">
        <v>560</v>
      </c>
      <c r="D75" s="267"/>
      <c r="E75" s="267"/>
      <c r="F75" s="268"/>
      <c r="G75" s="293"/>
      <c r="H75" s="345"/>
      <c r="I75" s="345"/>
      <c r="J75" s="269"/>
      <c r="K75" s="269"/>
      <c r="L75" s="269"/>
      <c r="M75" s="269"/>
      <c r="N75" s="346"/>
      <c r="O75" s="322">
        <f t="shared" si="15"/>
        <v>560</v>
      </c>
    </row>
    <row r="76" spans="1:15" s="213" customFormat="1" ht="28.5">
      <c r="A76" s="347" t="s">
        <v>81</v>
      </c>
      <c r="B76" s="284" t="s">
        <v>248</v>
      </c>
      <c r="C76" s="285">
        <v>35480</v>
      </c>
      <c r="D76" s="285"/>
      <c r="E76" s="285"/>
      <c r="F76" s="288"/>
      <c r="G76" s="348">
        <v>8382</v>
      </c>
      <c r="H76" s="349"/>
      <c r="I76" s="349"/>
      <c r="J76" s="300">
        <v>4460</v>
      </c>
      <c r="K76" s="300"/>
      <c r="L76" s="300"/>
      <c r="M76" s="300"/>
      <c r="N76" s="350">
        <v>700</v>
      </c>
      <c r="O76" s="322">
        <f t="shared" si="15"/>
        <v>49022</v>
      </c>
    </row>
    <row r="77" spans="1:15" s="213" customFormat="1" ht="15" thickBot="1">
      <c r="A77" s="347" t="s">
        <v>506</v>
      </c>
      <c r="B77" s="342" t="s">
        <v>507</v>
      </c>
      <c r="C77" s="351">
        <f>40000+22500</f>
        <v>62500</v>
      </c>
      <c r="D77" s="351"/>
      <c r="E77" s="351"/>
      <c r="F77" s="351"/>
      <c r="G77" s="352"/>
      <c r="H77" s="353"/>
      <c r="I77" s="353"/>
      <c r="J77" s="354"/>
      <c r="K77" s="354"/>
      <c r="L77" s="354"/>
      <c r="M77" s="354"/>
      <c r="N77" s="354"/>
      <c r="O77" s="322">
        <f t="shared" si="15"/>
        <v>62500</v>
      </c>
    </row>
    <row r="78" spans="1:16" ht="15.75" thickBot="1">
      <c r="A78" s="340" t="s">
        <v>9</v>
      </c>
      <c r="B78" s="222" t="s">
        <v>82</v>
      </c>
      <c r="C78" s="224">
        <f aca="true" t="shared" si="19" ref="C78:N78">SUM(C79,C87:C93,C101,C103)</f>
        <v>12559432</v>
      </c>
      <c r="D78" s="224">
        <f t="shared" si="19"/>
        <v>189977</v>
      </c>
      <c r="E78" s="224">
        <f t="shared" si="19"/>
        <v>0</v>
      </c>
      <c r="F78" s="224">
        <f t="shared" si="19"/>
        <v>0</v>
      </c>
      <c r="G78" s="224">
        <f t="shared" si="19"/>
        <v>72408</v>
      </c>
      <c r="H78" s="224">
        <f t="shared" si="19"/>
        <v>17080</v>
      </c>
      <c r="I78" s="224">
        <f t="shared" si="19"/>
        <v>35154</v>
      </c>
      <c r="J78" s="224">
        <f t="shared" si="19"/>
        <v>49879</v>
      </c>
      <c r="K78" s="224">
        <f t="shared" si="19"/>
        <v>566</v>
      </c>
      <c r="L78" s="224">
        <f t="shared" si="19"/>
        <v>0</v>
      </c>
      <c r="M78" s="224">
        <f t="shared" si="19"/>
        <v>1630</v>
      </c>
      <c r="N78" s="224">
        <f t="shared" si="19"/>
        <v>380</v>
      </c>
      <c r="O78" s="225">
        <f aca="true" t="shared" si="20" ref="O78:O90">SUM(C78:N78)</f>
        <v>12926506</v>
      </c>
      <c r="P78" s="213"/>
    </row>
    <row r="79" spans="1:15" ht="15">
      <c r="A79" s="314" t="s">
        <v>83</v>
      </c>
      <c r="B79" s="355" t="s">
        <v>84</v>
      </c>
      <c r="C79" s="316">
        <f aca="true" t="shared" si="21" ref="C79:N79">SUM(C80:C86)</f>
        <v>4155509</v>
      </c>
      <c r="D79" s="316">
        <f t="shared" si="21"/>
        <v>0</v>
      </c>
      <c r="E79" s="316">
        <f t="shared" si="21"/>
        <v>0</v>
      </c>
      <c r="F79" s="316">
        <f t="shared" si="21"/>
        <v>0</v>
      </c>
      <c r="G79" s="316">
        <f t="shared" si="21"/>
        <v>0</v>
      </c>
      <c r="H79" s="316">
        <f t="shared" si="21"/>
        <v>0</v>
      </c>
      <c r="I79" s="316">
        <f t="shared" si="21"/>
        <v>0</v>
      </c>
      <c r="J79" s="316">
        <f t="shared" si="21"/>
        <v>0</v>
      </c>
      <c r="K79" s="316">
        <f t="shared" si="21"/>
        <v>0</v>
      </c>
      <c r="L79" s="316">
        <f t="shared" si="21"/>
        <v>0</v>
      </c>
      <c r="M79" s="316">
        <f t="shared" si="21"/>
        <v>0</v>
      </c>
      <c r="N79" s="316">
        <f t="shared" si="21"/>
        <v>0</v>
      </c>
      <c r="O79" s="320">
        <f t="shared" si="20"/>
        <v>4155509</v>
      </c>
    </row>
    <row r="80" spans="1:15" ht="15">
      <c r="A80" s="356" t="s">
        <v>249</v>
      </c>
      <c r="B80" s="259" t="s">
        <v>250</v>
      </c>
      <c r="C80" s="230">
        <v>11500</v>
      </c>
      <c r="D80" s="229"/>
      <c r="E80" s="229"/>
      <c r="F80" s="230"/>
      <c r="G80" s="282"/>
      <c r="H80" s="282"/>
      <c r="I80" s="258"/>
      <c r="J80" s="259"/>
      <c r="K80" s="259"/>
      <c r="L80" s="259"/>
      <c r="M80" s="259"/>
      <c r="N80" s="260"/>
      <c r="O80" s="253">
        <f t="shared" si="20"/>
        <v>11500</v>
      </c>
    </row>
    <row r="81" spans="1:15" ht="30">
      <c r="A81" s="356" t="s">
        <v>442</v>
      </c>
      <c r="B81" s="303" t="s">
        <v>588</v>
      </c>
      <c r="C81" s="564">
        <f>63807-3947-454</f>
        <v>59406</v>
      </c>
      <c r="D81" s="229"/>
      <c r="E81" s="229"/>
      <c r="F81" s="230"/>
      <c r="G81" s="282"/>
      <c r="H81" s="282"/>
      <c r="I81" s="282"/>
      <c r="J81" s="259"/>
      <c r="K81" s="259"/>
      <c r="L81" s="259"/>
      <c r="M81" s="259"/>
      <c r="N81" s="260"/>
      <c r="O81" s="322">
        <f t="shared" si="20"/>
        <v>59406</v>
      </c>
    </row>
    <row r="82" spans="1:15" ht="15">
      <c r="A82" s="356" t="s">
        <v>443</v>
      </c>
      <c r="B82" s="357" t="s">
        <v>420</v>
      </c>
      <c r="C82" s="230">
        <v>5000</v>
      </c>
      <c r="D82" s="229"/>
      <c r="E82" s="229"/>
      <c r="F82" s="230"/>
      <c r="G82" s="282"/>
      <c r="H82" s="282"/>
      <c r="I82" s="282"/>
      <c r="J82" s="259"/>
      <c r="K82" s="259"/>
      <c r="L82" s="259"/>
      <c r="M82" s="259"/>
      <c r="N82" s="260"/>
      <c r="O82" s="322">
        <f t="shared" si="20"/>
        <v>5000</v>
      </c>
    </row>
    <row r="83" spans="1:15" ht="30">
      <c r="A83" s="356" t="s">
        <v>376</v>
      </c>
      <c r="B83" s="82" t="s">
        <v>485</v>
      </c>
      <c r="C83" s="230">
        <v>3455072</v>
      </c>
      <c r="D83" s="229"/>
      <c r="E83" s="229"/>
      <c r="F83" s="230"/>
      <c r="G83" s="282"/>
      <c r="H83" s="282"/>
      <c r="I83" s="282"/>
      <c r="J83" s="259"/>
      <c r="K83" s="259"/>
      <c r="L83" s="259"/>
      <c r="M83" s="259"/>
      <c r="N83" s="260"/>
      <c r="O83" s="322">
        <f t="shared" si="20"/>
        <v>3455072</v>
      </c>
    </row>
    <row r="84" spans="1:15" ht="15">
      <c r="A84" s="356" t="s">
        <v>509</v>
      </c>
      <c r="B84" s="82" t="s">
        <v>510</v>
      </c>
      <c r="C84" s="358">
        <v>242340</v>
      </c>
      <c r="D84" s="229"/>
      <c r="E84" s="229"/>
      <c r="F84" s="230"/>
      <c r="G84" s="282"/>
      <c r="H84" s="282"/>
      <c r="I84" s="282"/>
      <c r="J84" s="259"/>
      <c r="K84" s="259"/>
      <c r="L84" s="259"/>
      <c r="M84" s="259"/>
      <c r="N84" s="260"/>
      <c r="O84" s="322">
        <f t="shared" si="20"/>
        <v>242340</v>
      </c>
    </row>
    <row r="85" spans="1:15" ht="30">
      <c r="A85" s="356" t="s">
        <v>551</v>
      </c>
      <c r="B85" s="328" t="s">
        <v>589</v>
      </c>
      <c r="C85" s="230">
        <v>302106</v>
      </c>
      <c r="D85" s="229"/>
      <c r="E85" s="229"/>
      <c r="F85" s="230"/>
      <c r="G85" s="282"/>
      <c r="H85" s="282"/>
      <c r="I85" s="282"/>
      <c r="J85" s="259"/>
      <c r="K85" s="259"/>
      <c r="L85" s="259"/>
      <c r="M85" s="259"/>
      <c r="N85" s="260"/>
      <c r="O85" s="322">
        <f t="shared" si="20"/>
        <v>302106</v>
      </c>
    </row>
    <row r="86" spans="1:15" ht="15">
      <c r="A86" s="356" t="s">
        <v>590</v>
      </c>
      <c r="B86" s="328" t="s">
        <v>591</v>
      </c>
      <c r="C86" s="230">
        <f>104784-24699</f>
        <v>80085</v>
      </c>
      <c r="D86" s="229"/>
      <c r="E86" s="229"/>
      <c r="F86" s="230"/>
      <c r="G86" s="282"/>
      <c r="H86" s="282"/>
      <c r="I86" s="282"/>
      <c r="J86" s="259"/>
      <c r="K86" s="259"/>
      <c r="L86" s="259"/>
      <c r="M86" s="259"/>
      <c r="N86" s="260"/>
      <c r="O86" s="322">
        <f t="shared" si="20"/>
        <v>80085</v>
      </c>
    </row>
    <row r="87" spans="1:15" ht="15">
      <c r="A87" s="321" t="s">
        <v>85</v>
      </c>
      <c r="B87" s="284" t="s">
        <v>251</v>
      </c>
      <c r="C87" s="359"/>
      <c r="D87" s="285"/>
      <c r="E87" s="285"/>
      <c r="F87" s="288"/>
      <c r="G87" s="261"/>
      <c r="H87" s="261"/>
      <c r="I87" s="261"/>
      <c r="J87" s="263"/>
      <c r="K87" s="263"/>
      <c r="L87" s="263"/>
      <c r="M87" s="263"/>
      <c r="N87" s="264"/>
      <c r="O87" s="322">
        <f>SUM(C87:N87)</f>
        <v>0</v>
      </c>
    </row>
    <row r="88" spans="1:15" ht="15">
      <c r="A88" s="356" t="s">
        <v>377</v>
      </c>
      <c r="B88" s="83" t="s">
        <v>592</v>
      </c>
      <c r="C88" s="360"/>
      <c r="D88" s="285"/>
      <c r="E88" s="285"/>
      <c r="F88" s="288"/>
      <c r="G88" s="261"/>
      <c r="H88" s="261"/>
      <c r="I88" s="261"/>
      <c r="J88" s="263"/>
      <c r="K88" s="263"/>
      <c r="L88" s="263"/>
      <c r="M88" s="361">
        <v>1630</v>
      </c>
      <c r="N88" s="264"/>
      <c r="O88" s="322">
        <f t="shared" si="20"/>
        <v>1630</v>
      </c>
    </row>
    <row r="89" spans="1:15" ht="47.25">
      <c r="A89" s="356" t="s">
        <v>593</v>
      </c>
      <c r="B89" s="362" t="s">
        <v>594</v>
      </c>
      <c r="C89" s="316">
        <v>121802</v>
      </c>
      <c r="D89" s="285"/>
      <c r="E89" s="285"/>
      <c r="F89" s="288"/>
      <c r="G89" s="261"/>
      <c r="H89" s="261"/>
      <c r="I89" s="261"/>
      <c r="J89" s="263"/>
      <c r="K89" s="263"/>
      <c r="L89" s="263"/>
      <c r="M89" s="263"/>
      <c r="N89" s="264"/>
      <c r="O89" s="322">
        <f t="shared" si="20"/>
        <v>121802</v>
      </c>
    </row>
    <row r="90" spans="1:15" ht="75">
      <c r="A90" s="356" t="s">
        <v>378</v>
      </c>
      <c r="B90" s="114" t="s">
        <v>595</v>
      </c>
      <c r="C90" s="316">
        <v>3927618</v>
      </c>
      <c r="D90" s="285"/>
      <c r="E90" s="285"/>
      <c r="F90" s="288"/>
      <c r="G90" s="261"/>
      <c r="H90" s="261"/>
      <c r="I90" s="261"/>
      <c r="J90" s="263"/>
      <c r="K90" s="263"/>
      <c r="L90" s="263"/>
      <c r="M90" s="263"/>
      <c r="N90" s="264"/>
      <c r="O90" s="322">
        <f t="shared" si="20"/>
        <v>3927618</v>
      </c>
    </row>
    <row r="91" spans="1:15" ht="15">
      <c r="A91" s="314" t="s">
        <v>86</v>
      </c>
      <c r="B91" s="315" t="s">
        <v>87</v>
      </c>
      <c r="C91" s="360"/>
      <c r="D91" s="234"/>
      <c r="E91" s="234"/>
      <c r="F91" s="236"/>
      <c r="G91" s="261"/>
      <c r="H91" s="261"/>
      <c r="I91" s="261"/>
      <c r="J91" s="263"/>
      <c r="K91" s="263">
        <v>566</v>
      </c>
      <c r="L91" s="263"/>
      <c r="M91" s="263"/>
      <c r="N91" s="264"/>
      <c r="O91" s="322">
        <f t="shared" si="15"/>
        <v>566</v>
      </c>
    </row>
    <row r="92" spans="1:15" ht="15">
      <c r="A92" s="314" t="s">
        <v>444</v>
      </c>
      <c r="B92" s="315" t="s">
        <v>177</v>
      </c>
      <c r="C92" s="316">
        <v>288998</v>
      </c>
      <c r="D92" s="236"/>
      <c r="E92" s="234"/>
      <c r="F92" s="236"/>
      <c r="G92" s="261"/>
      <c r="H92" s="261"/>
      <c r="I92" s="261"/>
      <c r="J92" s="263">
        <v>1204</v>
      </c>
      <c r="K92" s="264"/>
      <c r="L92" s="264"/>
      <c r="M92" s="264"/>
      <c r="N92" s="264"/>
      <c r="O92" s="322">
        <f t="shared" si="15"/>
        <v>290202</v>
      </c>
    </row>
    <row r="93" spans="1:15" ht="15">
      <c r="A93" s="321" t="s">
        <v>88</v>
      </c>
      <c r="B93" s="284" t="s">
        <v>89</v>
      </c>
      <c r="C93" s="288">
        <f aca="true" t="shared" si="22" ref="C93:N93">SUM(C94:C100)</f>
        <v>3983432</v>
      </c>
      <c r="D93" s="288">
        <f t="shared" si="22"/>
        <v>189977</v>
      </c>
      <c r="E93" s="288">
        <f t="shared" si="22"/>
        <v>0</v>
      </c>
      <c r="F93" s="288">
        <f t="shared" si="22"/>
        <v>0</v>
      </c>
      <c r="G93" s="288">
        <f t="shared" si="22"/>
        <v>72408</v>
      </c>
      <c r="H93" s="288">
        <f t="shared" si="22"/>
        <v>17080</v>
      </c>
      <c r="I93" s="288">
        <f t="shared" si="22"/>
        <v>35154</v>
      </c>
      <c r="J93" s="288">
        <f t="shared" si="22"/>
        <v>48675</v>
      </c>
      <c r="K93" s="288">
        <f t="shared" si="22"/>
        <v>0</v>
      </c>
      <c r="L93" s="288">
        <f t="shared" si="22"/>
        <v>0</v>
      </c>
      <c r="M93" s="288">
        <f t="shared" si="22"/>
        <v>0</v>
      </c>
      <c r="N93" s="288">
        <f t="shared" si="22"/>
        <v>380</v>
      </c>
      <c r="O93" s="322">
        <f t="shared" si="15"/>
        <v>4347106</v>
      </c>
    </row>
    <row r="94" spans="1:15" ht="15">
      <c r="A94" s="323" t="s">
        <v>479</v>
      </c>
      <c r="B94" s="233" t="s">
        <v>90</v>
      </c>
      <c r="C94" s="236">
        <f>790620+3267</f>
        <v>793887</v>
      </c>
      <c r="D94" s="234">
        <f>5527-4136</f>
        <v>1391</v>
      </c>
      <c r="E94" s="234"/>
      <c r="F94" s="236"/>
      <c r="G94" s="262"/>
      <c r="H94" s="261"/>
      <c r="I94" s="262">
        <v>20700</v>
      </c>
      <c r="J94" s="263"/>
      <c r="K94" s="263"/>
      <c r="L94" s="263"/>
      <c r="M94" s="263"/>
      <c r="N94" s="264"/>
      <c r="O94" s="322">
        <f t="shared" si="15"/>
        <v>815978</v>
      </c>
    </row>
    <row r="95" spans="1:15" ht="15">
      <c r="A95" s="323" t="s">
        <v>596</v>
      </c>
      <c r="B95" s="233" t="s">
        <v>511</v>
      </c>
      <c r="C95" s="236">
        <f>1368339-355975</f>
        <v>1012364</v>
      </c>
      <c r="D95" s="234"/>
      <c r="E95" s="234"/>
      <c r="F95" s="236"/>
      <c r="G95" s="262"/>
      <c r="H95" s="261"/>
      <c r="I95" s="262"/>
      <c r="J95" s="263"/>
      <c r="K95" s="263"/>
      <c r="L95" s="263"/>
      <c r="M95" s="263"/>
      <c r="N95" s="264"/>
      <c r="O95" s="322">
        <f t="shared" si="15"/>
        <v>1012364</v>
      </c>
    </row>
    <row r="96" spans="1:15" ht="15">
      <c r="A96" s="323" t="s">
        <v>597</v>
      </c>
      <c r="B96" s="233" t="s">
        <v>512</v>
      </c>
      <c r="C96" s="236">
        <f>1063363+2395</f>
        <v>1065758</v>
      </c>
      <c r="D96" s="234"/>
      <c r="E96" s="234"/>
      <c r="F96" s="236"/>
      <c r="G96" s="262"/>
      <c r="H96" s="261"/>
      <c r="I96" s="262"/>
      <c r="J96" s="263"/>
      <c r="K96" s="263"/>
      <c r="L96" s="263"/>
      <c r="M96" s="263"/>
      <c r="N96" s="264"/>
      <c r="O96" s="322">
        <f t="shared" si="15"/>
        <v>1065758</v>
      </c>
    </row>
    <row r="97" spans="1:15" ht="15.75">
      <c r="A97" s="323" t="s">
        <v>598</v>
      </c>
      <c r="B97" s="363" t="s">
        <v>599</v>
      </c>
      <c r="C97" s="236">
        <f>651827-639108</f>
        <v>12719</v>
      </c>
      <c r="D97" s="234"/>
      <c r="E97" s="234"/>
      <c r="F97" s="236"/>
      <c r="G97" s="262"/>
      <c r="H97" s="261"/>
      <c r="I97" s="262"/>
      <c r="J97" s="263"/>
      <c r="K97" s="263"/>
      <c r="L97" s="263"/>
      <c r="M97" s="263"/>
      <c r="N97" s="264"/>
      <c r="O97" s="322">
        <f t="shared" si="15"/>
        <v>12719</v>
      </c>
    </row>
    <row r="98" spans="1:15" ht="15">
      <c r="A98" s="323" t="s">
        <v>253</v>
      </c>
      <c r="B98" s="303" t="s">
        <v>254</v>
      </c>
      <c r="C98" s="324"/>
      <c r="D98" s="234">
        <f>127426+61160</f>
        <v>188586</v>
      </c>
      <c r="E98" s="234"/>
      <c r="F98" s="236"/>
      <c r="G98" s="262">
        <f>70281+2127</f>
        <v>72408</v>
      </c>
      <c r="H98" s="262">
        <v>17080</v>
      </c>
      <c r="I98" s="262">
        <v>14454</v>
      </c>
      <c r="J98" s="263">
        <v>48675</v>
      </c>
      <c r="K98" s="263"/>
      <c r="L98" s="263"/>
      <c r="M98" s="263"/>
      <c r="N98" s="264">
        <v>380</v>
      </c>
      <c r="O98" s="322">
        <f t="shared" si="15"/>
        <v>341583</v>
      </c>
    </row>
    <row r="99" spans="1:15" ht="30">
      <c r="A99" s="323" t="s">
        <v>379</v>
      </c>
      <c r="B99" s="303" t="s">
        <v>600</v>
      </c>
      <c r="C99" s="236">
        <f>2056256-993852</f>
        <v>1062404</v>
      </c>
      <c r="D99" s="234"/>
      <c r="E99" s="234"/>
      <c r="F99" s="236"/>
      <c r="G99" s="263"/>
      <c r="H99" s="261"/>
      <c r="I99" s="261"/>
      <c r="J99" s="264"/>
      <c r="K99" s="264"/>
      <c r="L99" s="264"/>
      <c r="M99" s="264"/>
      <c r="N99" s="264"/>
      <c r="O99" s="322">
        <f t="shared" si="15"/>
        <v>1062404</v>
      </c>
    </row>
    <row r="100" spans="1:15" ht="30">
      <c r="A100" s="323" t="s">
        <v>501</v>
      </c>
      <c r="B100" s="565" t="s">
        <v>866</v>
      </c>
      <c r="C100" s="236">
        <f>1000000-963700</f>
        <v>36300</v>
      </c>
      <c r="D100" s="234"/>
      <c r="E100" s="234"/>
      <c r="F100" s="236"/>
      <c r="G100" s="263"/>
      <c r="H100" s="261"/>
      <c r="I100" s="261"/>
      <c r="J100" s="264"/>
      <c r="K100" s="264"/>
      <c r="L100" s="264"/>
      <c r="M100" s="264"/>
      <c r="N100" s="264"/>
      <c r="O100" s="322">
        <f t="shared" si="15"/>
        <v>36300</v>
      </c>
    </row>
    <row r="101" spans="1:15" ht="15">
      <c r="A101" s="321" t="s">
        <v>91</v>
      </c>
      <c r="B101" s="301" t="s">
        <v>92</v>
      </c>
      <c r="C101" s="288">
        <f>SUM(C102:C102)</f>
        <v>0</v>
      </c>
      <c r="D101" s="234"/>
      <c r="E101" s="234"/>
      <c r="F101" s="236"/>
      <c r="G101" s="285">
        <f aca="true" t="shared" si="23" ref="G101:N101">SUM(G102:G102)</f>
        <v>0</v>
      </c>
      <c r="H101" s="285">
        <f t="shared" si="23"/>
        <v>0</v>
      </c>
      <c r="I101" s="285">
        <f>SUM(I102:I102)</f>
        <v>0</v>
      </c>
      <c r="J101" s="288">
        <f t="shared" si="23"/>
        <v>0</v>
      </c>
      <c r="K101" s="288">
        <f t="shared" si="23"/>
        <v>0</v>
      </c>
      <c r="L101" s="288">
        <f t="shared" si="23"/>
        <v>0</v>
      </c>
      <c r="M101" s="288">
        <f t="shared" si="23"/>
        <v>0</v>
      </c>
      <c r="N101" s="288">
        <f t="shared" si="23"/>
        <v>0</v>
      </c>
      <c r="O101" s="322">
        <f t="shared" si="15"/>
        <v>0</v>
      </c>
    </row>
    <row r="102" spans="1:15" ht="15">
      <c r="A102" s="323" t="s">
        <v>255</v>
      </c>
      <c r="B102" s="233" t="s">
        <v>341</v>
      </c>
      <c r="C102" s="324"/>
      <c r="D102" s="234"/>
      <c r="E102" s="234"/>
      <c r="F102" s="236"/>
      <c r="G102" s="263"/>
      <c r="H102" s="261"/>
      <c r="I102" s="261"/>
      <c r="J102" s="263"/>
      <c r="K102" s="263"/>
      <c r="L102" s="263"/>
      <c r="M102" s="263"/>
      <c r="N102" s="264"/>
      <c r="O102" s="322">
        <f t="shared" si="15"/>
        <v>0</v>
      </c>
    </row>
    <row r="103" spans="1:15" ht="15.75" thickBot="1">
      <c r="A103" s="364" t="s">
        <v>542</v>
      </c>
      <c r="B103" s="342" t="s">
        <v>530</v>
      </c>
      <c r="C103" s="268">
        <v>82073</v>
      </c>
      <c r="D103" s="268"/>
      <c r="E103" s="268"/>
      <c r="F103" s="268"/>
      <c r="G103" s="346"/>
      <c r="H103" s="365"/>
      <c r="I103" s="365"/>
      <c r="J103" s="346"/>
      <c r="K103" s="346"/>
      <c r="L103" s="346"/>
      <c r="M103" s="346"/>
      <c r="N103" s="346"/>
      <c r="O103" s="322">
        <f t="shared" si="15"/>
        <v>82073</v>
      </c>
    </row>
    <row r="104" spans="1:16" ht="15.75" thickBot="1">
      <c r="A104" s="340" t="s">
        <v>31</v>
      </c>
      <c r="B104" s="366" t="s">
        <v>93</v>
      </c>
      <c r="C104" s="224">
        <f aca="true" t="shared" si="24" ref="C104:N104">C105+C108+C111+C114</f>
        <v>5763915</v>
      </c>
      <c r="D104" s="224">
        <f t="shared" si="24"/>
        <v>382973</v>
      </c>
      <c r="E104" s="224">
        <f t="shared" si="24"/>
        <v>0</v>
      </c>
      <c r="F104" s="224">
        <f t="shared" si="24"/>
        <v>88582</v>
      </c>
      <c r="G104" s="224">
        <f t="shared" si="24"/>
        <v>0</v>
      </c>
      <c r="H104" s="224">
        <f t="shared" si="24"/>
        <v>27520</v>
      </c>
      <c r="I104" s="224">
        <f t="shared" si="24"/>
        <v>27798</v>
      </c>
      <c r="J104" s="224">
        <f t="shared" si="24"/>
        <v>66956</v>
      </c>
      <c r="K104" s="224">
        <f t="shared" si="24"/>
        <v>4100</v>
      </c>
      <c r="L104" s="224">
        <f t="shared" si="24"/>
        <v>13546</v>
      </c>
      <c r="M104" s="224">
        <f t="shared" si="24"/>
        <v>0</v>
      </c>
      <c r="N104" s="224">
        <f t="shared" si="24"/>
        <v>17329</v>
      </c>
      <c r="O104" s="225">
        <f t="shared" si="15"/>
        <v>6392719</v>
      </c>
      <c r="P104" s="213"/>
    </row>
    <row r="105" spans="1:15" ht="15">
      <c r="A105" s="314" t="s">
        <v>94</v>
      </c>
      <c r="B105" s="367" t="s">
        <v>95</v>
      </c>
      <c r="C105" s="316">
        <f>SUM(C106:C107)</f>
        <v>37433</v>
      </c>
      <c r="D105" s="316">
        <f aca="true" t="shared" si="25" ref="D105:N105">SUM(D106:D107)</f>
        <v>31137</v>
      </c>
      <c r="E105" s="316">
        <f t="shared" si="25"/>
        <v>0</v>
      </c>
      <c r="F105" s="316">
        <f t="shared" si="25"/>
        <v>32878</v>
      </c>
      <c r="G105" s="316">
        <f t="shared" si="25"/>
        <v>0</v>
      </c>
      <c r="H105" s="316">
        <f t="shared" si="25"/>
        <v>10260</v>
      </c>
      <c r="I105" s="316">
        <f t="shared" si="25"/>
        <v>27798</v>
      </c>
      <c r="J105" s="316">
        <f t="shared" si="25"/>
        <v>32767</v>
      </c>
      <c r="K105" s="316">
        <f t="shared" si="25"/>
        <v>0</v>
      </c>
      <c r="L105" s="316">
        <f t="shared" si="25"/>
        <v>5500</v>
      </c>
      <c r="M105" s="316">
        <f t="shared" si="25"/>
        <v>0</v>
      </c>
      <c r="N105" s="316">
        <f t="shared" si="25"/>
        <v>5433</v>
      </c>
      <c r="O105" s="368">
        <f t="shared" si="15"/>
        <v>183206</v>
      </c>
    </row>
    <row r="106" spans="1:15" ht="30">
      <c r="A106" s="323" t="s">
        <v>256</v>
      </c>
      <c r="B106" s="233" t="s">
        <v>602</v>
      </c>
      <c r="C106" s="236">
        <v>18073</v>
      </c>
      <c r="D106" s="235">
        <f>26096+5041</f>
        <v>31137</v>
      </c>
      <c r="E106" s="234"/>
      <c r="F106" s="234">
        <v>32878</v>
      </c>
      <c r="G106" s="243"/>
      <c r="H106" s="262">
        <v>10260</v>
      </c>
      <c r="I106" s="262">
        <v>27798</v>
      </c>
      <c r="J106" s="263">
        <v>32767</v>
      </c>
      <c r="K106" s="263"/>
      <c r="L106" s="263">
        <v>5500</v>
      </c>
      <c r="M106" s="263"/>
      <c r="N106" s="264">
        <v>5433</v>
      </c>
      <c r="O106" s="322">
        <f>SUM(C106:N106)</f>
        <v>163846</v>
      </c>
    </row>
    <row r="107" spans="1:15" ht="15">
      <c r="A107" s="323" t="s">
        <v>380</v>
      </c>
      <c r="B107" s="81" t="s">
        <v>603</v>
      </c>
      <c r="C107" s="236">
        <v>19360</v>
      </c>
      <c r="D107" s="236"/>
      <c r="E107" s="236"/>
      <c r="F107" s="234"/>
      <c r="G107" s="243"/>
      <c r="H107" s="261"/>
      <c r="I107" s="261"/>
      <c r="J107" s="264"/>
      <c r="K107" s="264"/>
      <c r="L107" s="264"/>
      <c r="M107" s="264"/>
      <c r="N107" s="264"/>
      <c r="O107" s="322">
        <f>SUM(C107:N107)</f>
        <v>19360</v>
      </c>
    </row>
    <row r="108" spans="1:15" ht="15">
      <c r="A108" s="321" t="s">
        <v>11</v>
      </c>
      <c r="B108" s="301" t="s">
        <v>96</v>
      </c>
      <c r="C108" s="288">
        <f>SUM(C109:C110)</f>
        <v>0</v>
      </c>
      <c r="D108" s="288">
        <f>SUM(D109:D110)</f>
        <v>351836</v>
      </c>
      <c r="E108" s="288">
        <f>SUM(E109:E110)</f>
        <v>0</v>
      </c>
      <c r="F108" s="285">
        <f>SUM(F109:F110)</f>
        <v>55704</v>
      </c>
      <c r="G108" s="287">
        <f aca="true" t="shared" si="26" ref="G108:N108">SUM(G109:G110)</f>
        <v>0</v>
      </c>
      <c r="H108" s="285">
        <f t="shared" si="26"/>
        <v>17260</v>
      </c>
      <c r="I108" s="285">
        <f t="shared" si="26"/>
        <v>0</v>
      </c>
      <c r="J108" s="288">
        <f t="shared" si="26"/>
        <v>34189</v>
      </c>
      <c r="K108" s="288">
        <f t="shared" si="26"/>
        <v>4100</v>
      </c>
      <c r="L108" s="288">
        <f t="shared" si="26"/>
        <v>8046</v>
      </c>
      <c r="M108" s="288">
        <f t="shared" si="26"/>
        <v>0</v>
      </c>
      <c r="N108" s="288">
        <f t="shared" si="26"/>
        <v>11896</v>
      </c>
      <c r="O108" s="322">
        <f t="shared" si="15"/>
        <v>483031</v>
      </c>
    </row>
    <row r="109" spans="1:15" ht="15">
      <c r="A109" s="323" t="s">
        <v>257</v>
      </c>
      <c r="B109" s="303" t="s">
        <v>604</v>
      </c>
      <c r="C109" s="324"/>
      <c r="D109" s="234">
        <f>28604+19917</f>
        <v>48521</v>
      </c>
      <c r="E109" s="234"/>
      <c r="F109" s="520">
        <f>55319-55319</f>
        <v>0</v>
      </c>
      <c r="G109" s="369"/>
      <c r="H109" s="261"/>
      <c r="I109" s="261"/>
      <c r="J109" s="263"/>
      <c r="K109" s="263"/>
      <c r="L109" s="263"/>
      <c r="M109" s="263"/>
      <c r="N109" s="264"/>
      <c r="O109" s="322">
        <f t="shared" si="15"/>
        <v>48521</v>
      </c>
    </row>
    <row r="110" spans="1:15" ht="15">
      <c r="A110" s="370" t="s">
        <v>258</v>
      </c>
      <c r="B110" s="303" t="s">
        <v>605</v>
      </c>
      <c r="C110" s="324"/>
      <c r="D110" s="234">
        <f>260068+43247</f>
        <v>303315</v>
      </c>
      <c r="E110" s="234"/>
      <c r="F110" s="520">
        <f>55319+385</f>
        <v>55704</v>
      </c>
      <c r="G110" s="243"/>
      <c r="H110" s="262">
        <v>17260</v>
      </c>
      <c r="I110" s="261"/>
      <c r="J110" s="263">
        <v>34189</v>
      </c>
      <c r="K110" s="263">
        <v>4100</v>
      </c>
      <c r="L110" s="561">
        <f>5948+2098</f>
        <v>8046</v>
      </c>
      <c r="M110" s="263"/>
      <c r="N110" s="371">
        <f>11836+60</f>
        <v>11896</v>
      </c>
      <c r="O110" s="322">
        <f>SUM(C110:N110)</f>
        <v>434510</v>
      </c>
    </row>
    <row r="111" spans="1:15" s="213" customFormat="1" ht="28.5">
      <c r="A111" s="321" t="s">
        <v>259</v>
      </c>
      <c r="B111" s="367" t="s">
        <v>260</v>
      </c>
      <c r="C111" s="316">
        <f aca="true" t="shared" si="27" ref="C111:N111">SUM(C112:C113)</f>
        <v>5726482</v>
      </c>
      <c r="D111" s="316">
        <f t="shared" si="27"/>
        <v>0</v>
      </c>
      <c r="E111" s="316">
        <f t="shared" si="27"/>
        <v>0</v>
      </c>
      <c r="F111" s="316">
        <f t="shared" si="27"/>
        <v>0</v>
      </c>
      <c r="G111" s="316">
        <f t="shared" si="27"/>
        <v>0</v>
      </c>
      <c r="H111" s="316">
        <f t="shared" si="27"/>
        <v>0</v>
      </c>
      <c r="I111" s="316">
        <f t="shared" si="27"/>
        <v>0</v>
      </c>
      <c r="J111" s="316">
        <f t="shared" si="27"/>
        <v>0</v>
      </c>
      <c r="K111" s="316">
        <f t="shared" si="27"/>
        <v>0</v>
      </c>
      <c r="L111" s="316">
        <f t="shared" si="27"/>
        <v>0</v>
      </c>
      <c r="M111" s="316">
        <f t="shared" si="27"/>
        <v>0</v>
      </c>
      <c r="N111" s="316">
        <f t="shared" si="27"/>
        <v>0</v>
      </c>
      <c r="O111" s="322">
        <f t="shared" si="15"/>
        <v>5726482</v>
      </c>
    </row>
    <row r="112" spans="1:15" s="213" customFormat="1" ht="31.5">
      <c r="A112" s="323" t="s">
        <v>606</v>
      </c>
      <c r="B112" s="362" t="s">
        <v>607</v>
      </c>
      <c r="C112" s="316">
        <f>2500000+425180</f>
        <v>2925180</v>
      </c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22">
        <f>SUM(C112:N112)</f>
        <v>2925180</v>
      </c>
    </row>
    <row r="113" spans="1:15" s="213" customFormat="1" ht="44.25" customHeight="1">
      <c r="A113" s="323" t="s">
        <v>381</v>
      </c>
      <c r="B113" s="84" t="s">
        <v>608</v>
      </c>
      <c r="C113" s="372">
        <f>2776945+24357</f>
        <v>2801302</v>
      </c>
      <c r="D113" s="316"/>
      <c r="E113" s="316"/>
      <c r="F113" s="316"/>
      <c r="G113" s="281"/>
      <c r="H113" s="316"/>
      <c r="I113" s="316"/>
      <c r="J113" s="316"/>
      <c r="K113" s="316"/>
      <c r="L113" s="316"/>
      <c r="M113" s="316"/>
      <c r="N113" s="316"/>
      <c r="O113" s="322">
        <f>SUM(C113:N113)</f>
        <v>2801302</v>
      </c>
    </row>
    <row r="114" spans="1:15" ht="29.25">
      <c r="A114" s="314" t="s">
        <v>261</v>
      </c>
      <c r="B114" s="367" t="s">
        <v>262</v>
      </c>
      <c r="C114" s="316">
        <f>C115</f>
        <v>0</v>
      </c>
      <c r="D114" s="316">
        <f aca="true" t="shared" si="28" ref="D114:N114">D115</f>
        <v>0</v>
      </c>
      <c r="E114" s="316">
        <f t="shared" si="28"/>
        <v>0</v>
      </c>
      <c r="F114" s="316">
        <f t="shared" si="28"/>
        <v>0</v>
      </c>
      <c r="G114" s="316">
        <f t="shared" si="28"/>
        <v>0</v>
      </c>
      <c r="H114" s="316">
        <f t="shared" si="28"/>
        <v>0</v>
      </c>
      <c r="I114" s="316">
        <f t="shared" si="28"/>
        <v>0</v>
      </c>
      <c r="J114" s="316">
        <f t="shared" si="28"/>
        <v>0</v>
      </c>
      <c r="K114" s="316">
        <f t="shared" si="28"/>
        <v>0</v>
      </c>
      <c r="L114" s="316">
        <f t="shared" si="28"/>
        <v>0</v>
      </c>
      <c r="M114" s="316">
        <f t="shared" si="28"/>
        <v>0</v>
      </c>
      <c r="N114" s="316">
        <f t="shared" si="28"/>
        <v>0</v>
      </c>
      <c r="O114" s="322">
        <f>SUM(C114:N114)</f>
        <v>0</v>
      </c>
    </row>
    <row r="115" spans="1:15" s="213" customFormat="1" ht="21.75" customHeight="1" thickBot="1">
      <c r="A115" s="373" t="s">
        <v>445</v>
      </c>
      <c r="B115" s="299" t="s">
        <v>262</v>
      </c>
      <c r="C115" s="316"/>
      <c r="D115" s="316"/>
      <c r="E115" s="316"/>
      <c r="F115" s="316"/>
      <c r="G115" s="281"/>
      <c r="H115" s="316"/>
      <c r="I115" s="316"/>
      <c r="J115" s="316"/>
      <c r="K115" s="316"/>
      <c r="L115" s="316"/>
      <c r="M115" s="316"/>
      <c r="N115" s="316"/>
      <c r="O115" s="322">
        <f>SUM(C115:N115)</f>
        <v>0</v>
      </c>
    </row>
    <row r="116" spans="1:16" ht="30" thickBot="1">
      <c r="A116" s="340" t="s">
        <v>12</v>
      </c>
      <c r="B116" s="366" t="s">
        <v>97</v>
      </c>
      <c r="C116" s="224">
        <f>SUM(C117:C123)</f>
        <v>4649465</v>
      </c>
      <c r="D116" s="224">
        <f>SUM(D117:D123)</f>
        <v>2400288</v>
      </c>
      <c r="E116" s="224">
        <f>SUM(E117:E123)</f>
        <v>0</v>
      </c>
      <c r="F116" s="224">
        <f>SUM(F117:F123)</f>
        <v>258449</v>
      </c>
      <c r="G116" s="223">
        <f aca="true" t="shared" si="29" ref="G116:N116">SUM(G117:G123)</f>
        <v>77292</v>
      </c>
      <c r="H116" s="223">
        <f>SUM(H117:H123)</f>
        <v>150867</v>
      </c>
      <c r="I116" s="223">
        <f t="shared" si="29"/>
        <v>201925</v>
      </c>
      <c r="J116" s="224">
        <f t="shared" si="29"/>
        <v>330994</v>
      </c>
      <c r="K116" s="224">
        <f t="shared" si="29"/>
        <v>42843</v>
      </c>
      <c r="L116" s="224">
        <f>SUM(L117:L123)</f>
        <v>95892</v>
      </c>
      <c r="M116" s="224">
        <f t="shared" si="29"/>
        <v>115997</v>
      </c>
      <c r="N116" s="224">
        <f t="shared" si="29"/>
        <v>155567</v>
      </c>
      <c r="O116" s="225">
        <f t="shared" si="15"/>
        <v>8479579</v>
      </c>
      <c r="P116" s="213"/>
    </row>
    <row r="117" spans="1:15" ht="15">
      <c r="A117" s="314" t="s">
        <v>324</v>
      </c>
      <c r="B117" s="367" t="s">
        <v>446</v>
      </c>
      <c r="C117" s="316"/>
      <c r="D117" s="281"/>
      <c r="E117" s="229"/>
      <c r="F117" s="230"/>
      <c r="G117" s="282"/>
      <c r="H117" s="374"/>
      <c r="I117" s="282"/>
      <c r="J117" s="259"/>
      <c r="K117" s="259"/>
      <c r="L117" s="259"/>
      <c r="M117" s="259"/>
      <c r="N117" s="260"/>
      <c r="O117" s="320">
        <f t="shared" si="15"/>
        <v>0</v>
      </c>
    </row>
    <row r="118" spans="1:15" ht="15">
      <c r="A118" s="356" t="s">
        <v>382</v>
      </c>
      <c r="B118" s="299" t="s">
        <v>178</v>
      </c>
      <c r="C118" s="316"/>
      <c r="D118" s="281"/>
      <c r="E118" s="229"/>
      <c r="F118" s="230"/>
      <c r="G118" s="282"/>
      <c r="I118" s="282"/>
      <c r="J118" s="259"/>
      <c r="K118" s="259"/>
      <c r="L118" s="259"/>
      <c r="M118" s="259"/>
      <c r="N118" s="260"/>
      <c r="O118" s="253">
        <f t="shared" si="15"/>
        <v>0</v>
      </c>
    </row>
    <row r="119" spans="1:15" ht="15">
      <c r="A119" s="321" t="s">
        <v>447</v>
      </c>
      <c r="B119" s="301" t="s">
        <v>263</v>
      </c>
      <c r="C119" s="326">
        <v>585802</v>
      </c>
      <c r="D119" s="285"/>
      <c r="E119" s="234"/>
      <c r="F119" s="236"/>
      <c r="G119" s="261"/>
      <c r="H119" s="261"/>
      <c r="I119" s="261"/>
      <c r="J119" s="263"/>
      <c r="K119" s="263"/>
      <c r="L119" s="263"/>
      <c r="M119" s="263"/>
      <c r="N119" s="264"/>
      <c r="O119" s="322">
        <f t="shared" si="15"/>
        <v>585802</v>
      </c>
    </row>
    <row r="120" spans="1:15" ht="15">
      <c r="A120" s="321" t="s">
        <v>98</v>
      </c>
      <c r="B120" s="301" t="s">
        <v>99</v>
      </c>
      <c r="C120" s="236"/>
      <c r="D120" s="285">
        <f>214065+140000</f>
        <v>354065</v>
      </c>
      <c r="E120" s="234"/>
      <c r="F120" s="234">
        <v>31764</v>
      </c>
      <c r="G120" s="262"/>
      <c r="H120" s="262">
        <v>15585</v>
      </c>
      <c r="I120" s="262">
        <v>22085</v>
      </c>
      <c r="J120" s="561">
        <v>45079</v>
      </c>
      <c r="K120" s="561">
        <v>2289</v>
      </c>
      <c r="L120" s="561">
        <f>5154+3000</f>
        <v>8154</v>
      </c>
      <c r="M120" s="566">
        <v>86643</v>
      </c>
      <c r="N120" s="264">
        <v>6186</v>
      </c>
      <c r="O120" s="322">
        <f t="shared" si="15"/>
        <v>571850</v>
      </c>
    </row>
    <row r="121" spans="1:15" ht="15">
      <c r="A121" s="321" t="s">
        <v>609</v>
      </c>
      <c r="B121" s="303" t="s">
        <v>610</v>
      </c>
      <c r="C121" s="236"/>
      <c r="D121" s="285"/>
      <c r="E121" s="234"/>
      <c r="F121" s="236"/>
      <c r="G121" s="262"/>
      <c r="H121" s="262"/>
      <c r="I121" s="262"/>
      <c r="J121" s="561"/>
      <c r="K121" s="561"/>
      <c r="L121" s="561"/>
      <c r="M121" s="566"/>
      <c r="N121" s="264"/>
      <c r="O121" s="322">
        <f t="shared" si="15"/>
        <v>0</v>
      </c>
    </row>
    <row r="122" spans="1:15" ht="15">
      <c r="A122" s="321" t="s">
        <v>470</v>
      </c>
      <c r="B122" s="301" t="s">
        <v>101</v>
      </c>
      <c r="C122" s="288">
        <v>698001</v>
      </c>
      <c r="D122" s="285"/>
      <c r="E122" s="234"/>
      <c r="F122" s="236"/>
      <c r="G122" s="262">
        <v>5400</v>
      </c>
      <c r="H122" s="262">
        <v>1200</v>
      </c>
      <c r="I122" s="261"/>
      <c r="J122" s="561">
        <v>6225</v>
      </c>
      <c r="K122" s="561"/>
      <c r="L122" s="561"/>
      <c r="M122" s="566">
        <v>1500</v>
      </c>
      <c r="N122" s="264"/>
      <c r="O122" s="322">
        <f t="shared" si="15"/>
        <v>712326</v>
      </c>
    </row>
    <row r="123" spans="1:15" ht="43.5">
      <c r="A123" s="321" t="s">
        <v>102</v>
      </c>
      <c r="B123" s="301" t="s">
        <v>103</v>
      </c>
      <c r="C123" s="288">
        <f aca="true" t="shared" si="30" ref="C123:N123">SUM(C124:C140)</f>
        <v>3365662</v>
      </c>
      <c r="D123" s="288">
        <f t="shared" si="30"/>
        <v>2046223</v>
      </c>
      <c r="E123" s="288">
        <f t="shared" si="30"/>
        <v>0</v>
      </c>
      <c r="F123" s="288">
        <f t="shared" si="30"/>
        <v>226685</v>
      </c>
      <c r="G123" s="288">
        <f t="shared" si="30"/>
        <v>71892</v>
      </c>
      <c r="H123" s="288">
        <f t="shared" si="30"/>
        <v>134082</v>
      </c>
      <c r="I123" s="288">
        <f t="shared" si="30"/>
        <v>179840</v>
      </c>
      <c r="J123" s="567">
        <f t="shared" si="30"/>
        <v>279690</v>
      </c>
      <c r="K123" s="567">
        <f t="shared" si="30"/>
        <v>40554</v>
      </c>
      <c r="L123" s="567">
        <f t="shared" si="30"/>
        <v>87738</v>
      </c>
      <c r="M123" s="567">
        <f t="shared" si="30"/>
        <v>27854</v>
      </c>
      <c r="N123" s="288">
        <f t="shared" si="30"/>
        <v>149381</v>
      </c>
      <c r="O123" s="322">
        <f t="shared" si="15"/>
        <v>6609601</v>
      </c>
    </row>
    <row r="124" spans="1:15" ht="15">
      <c r="A124" s="323" t="s">
        <v>264</v>
      </c>
      <c r="B124" s="303" t="s">
        <v>611</v>
      </c>
      <c r="C124" s="324"/>
      <c r="D124" s="234">
        <f>1980507+50966</f>
        <v>2031473</v>
      </c>
      <c r="E124" s="234"/>
      <c r="F124" s="234">
        <v>58120</v>
      </c>
      <c r="G124" s="375"/>
      <c r="H124" s="258">
        <v>7650</v>
      </c>
      <c r="I124" s="262">
        <v>9200</v>
      </c>
      <c r="J124" s="561">
        <v>2160</v>
      </c>
      <c r="K124" s="561">
        <v>12181</v>
      </c>
      <c r="L124" s="561"/>
      <c r="M124" s="561"/>
      <c r="N124" s="263"/>
      <c r="O124" s="322">
        <f t="shared" si="15"/>
        <v>2120784</v>
      </c>
    </row>
    <row r="125" spans="1:15" ht="15">
      <c r="A125" s="323" t="s">
        <v>265</v>
      </c>
      <c r="B125" s="303" t="s">
        <v>612</v>
      </c>
      <c r="C125" s="324"/>
      <c r="D125" s="234"/>
      <c r="E125" s="234"/>
      <c r="F125" s="234">
        <f>167100+1465</f>
        <v>168565</v>
      </c>
      <c r="G125" s="375"/>
      <c r="H125" s="262">
        <v>91588</v>
      </c>
      <c r="I125" s="262">
        <v>64088</v>
      </c>
      <c r="J125" s="561">
        <v>127620</v>
      </c>
      <c r="K125" s="561"/>
      <c r="L125" s="561"/>
      <c r="M125" s="561"/>
      <c r="N125" s="264"/>
      <c r="O125" s="322">
        <f t="shared" si="15"/>
        <v>451861</v>
      </c>
    </row>
    <row r="126" spans="1:15" ht="15">
      <c r="A126" s="323" t="s">
        <v>266</v>
      </c>
      <c r="B126" s="303" t="s">
        <v>613</v>
      </c>
      <c r="C126" s="236">
        <f>6700+7224</f>
        <v>13924</v>
      </c>
      <c r="D126" s="234">
        <f>7398+7352</f>
        <v>14750</v>
      </c>
      <c r="E126" s="234"/>
      <c r="F126" s="236"/>
      <c r="G126" s="262">
        <v>9867</v>
      </c>
      <c r="H126" s="262"/>
      <c r="I126" s="262"/>
      <c r="J126" s="561">
        <v>11713</v>
      </c>
      <c r="K126" s="561">
        <v>4120</v>
      </c>
      <c r="L126" s="561"/>
      <c r="M126" s="566">
        <v>4454</v>
      </c>
      <c r="N126" s="264"/>
      <c r="O126" s="322">
        <f t="shared" si="15"/>
        <v>58828</v>
      </c>
    </row>
    <row r="127" spans="1:15" ht="45">
      <c r="A127" s="323" t="s">
        <v>448</v>
      </c>
      <c r="B127" s="299" t="s">
        <v>614</v>
      </c>
      <c r="C127" s="230">
        <v>393410</v>
      </c>
      <c r="D127" s="234"/>
      <c r="E127" s="234"/>
      <c r="F127" s="236"/>
      <c r="G127" s="262"/>
      <c r="H127" s="262"/>
      <c r="I127" s="262"/>
      <c r="J127" s="561"/>
      <c r="K127" s="561"/>
      <c r="L127" s="561"/>
      <c r="M127" s="566"/>
      <c r="N127" s="264"/>
      <c r="O127" s="322">
        <f t="shared" si="15"/>
        <v>393410</v>
      </c>
    </row>
    <row r="128" spans="1:15" ht="30">
      <c r="A128" s="323" t="s">
        <v>267</v>
      </c>
      <c r="B128" s="303" t="s">
        <v>615</v>
      </c>
      <c r="C128" s="230">
        <f>43600-15702</f>
        <v>27898</v>
      </c>
      <c r="D128" s="234"/>
      <c r="E128" s="234"/>
      <c r="F128" s="236"/>
      <c r="G128" s="262">
        <v>4161</v>
      </c>
      <c r="H128" s="262">
        <v>2849</v>
      </c>
      <c r="I128" s="262"/>
      <c r="J128" s="561">
        <v>4318</v>
      </c>
      <c r="K128" s="561"/>
      <c r="L128" s="561">
        <v>1500</v>
      </c>
      <c r="M128" s="561">
        <v>1437</v>
      </c>
      <c r="N128" s="264">
        <v>1437</v>
      </c>
      <c r="O128" s="322">
        <f t="shared" si="15"/>
        <v>43600</v>
      </c>
    </row>
    <row r="129" spans="1:15" ht="30">
      <c r="A129" s="323" t="s">
        <v>268</v>
      </c>
      <c r="B129" s="299" t="s">
        <v>616</v>
      </c>
      <c r="C129" s="230">
        <v>50000</v>
      </c>
      <c r="D129" s="234"/>
      <c r="E129" s="234"/>
      <c r="F129" s="236"/>
      <c r="G129" s="262">
        <v>6467</v>
      </c>
      <c r="H129" s="262"/>
      <c r="I129" s="262">
        <v>9000</v>
      </c>
      <c r="J129" s="263">
        <v>5208</v>
      </c>
      <c r="K129" s="263"/>
      <c r="L129" s="263"/>
      <c r="M129" s="263"/>
      <c r="N129" s="264"/>
      <c r="O129" s="322">
        <f>SUM(C129:N129)</f>
        <v>70675</v>
      </c>
    </row>
    <row r="130" spans="1:15" ht="15">
      <c r="A130" s="323" t="s">
        <v>269</v>
      </c>
      <c r="B130" s="376" t="s">
        <v>549</v>
      </c>
      <c r="C130" s="236">
        <v>35000</v>
      </c>
      <c r="D130" s="236"/>
      <c r="E130" s="236"/>
      <c r="F130" s="236"/>
      <c r="G130" s="262">
        <f>12227-2500</f>
        <v>9727</v>
      </c>
      <c r="H130" s="262"/>
      <c r="I130" s="262">
        <v>97552</v>
      </c>
      <c r="J130" s="263"/>
      <c r="K130" s="263"/>
      <c r="L130" s="263"/>
      <c r="M130" s="263">
        <v>17200</v>
      </c>
      <c r="N130" s="264"/>
      <c r="O130" s="322">
        <f aca="true" t="shared" si="31" ref="O130:O193">SUM(C130:N130)</f>
        <v>159479</v>
      </c>
    </row>
    <row r="131" spans="1:15" ht="17.25" customHeight="1">
      <c r="A131" s="323" t="s">
        <v>270</v>
      </c>
      <c r="B131" s="303" t="s">
        <v>617</v>
      </c>
      <c r="C131" s="234">
        <v>3000</v>
      </c>
      <c r="D131" s="234"/>
      <c r="E131" s="234"/>
      <c r="F131" s="236"/>
      <c r="G131" s="262"/>
      <c r="H131" s="262"/>
      <c r="I131" s="262"/>
      <c r="J131" s="263"/>
      <c r="K131" s="263"/>
      <c r="L131" s="263"/>
      <c r="M131" s="263"/>
      <c r="N131" s="264"/>
      <c r="O131" s="322">
        <f t="shared" si="31"/>
        <v>3000</v>
      </c>
    </row>
    <row r="132" spans="1:15" ht="15">
      <c r="A132" s="323" t="s">
        <v>271</v>
      </c>
      <c r="B132" s="215" t="s">
        <v>618</v>
      </c>
      <c r="C132" s="324"/>
      <c r="D132" s="236"/>
      <c r="E132" s="236"/>
      <c r="F132" s="236"/>
      <c r="G132" s="262"/>
      <c r="H132" s="262">
        <v>31995</v>
      </c>
      <c r="I132" s="262"/>
      <c r="J132" s="377">
        <v>128411</v>
      </c>
      <c r="K132" s="264">
        <v>24253</v>
      </c>
      <c r="L132" s="561">
        <f>80761+5477</f>
        <v>86238</v>
      </c>
      <c r="M132" s="263"/>
      <c r="N132" s="371">
        <f>146544+1400</f>
        <v>147944</v>
      </c>
      <c r="O132" s="322">
        <f t="shared" si="31"/>
        <v>418841</v>
      </c>
    </row>
    <row r="133" spans="1:15" ht="30">
      <c r="A133" s="323" t="s">
        <v>333</v>
      </c>
      <c r="B133" s="303" t="s">
        <v>619</v>
      </c>
      <c r="C133" s="268">
        <v>2860</v>
      </c>
      <c r="D133" s="268"/>
      <c r="E133" s="268"/>
      <c r="F133" s="268"/>
      <c r="G133" s="293"/>
      <c r="H133" s="293"/>
      <c r="I133" s="293"/>
      <c r="J133" s="378"/>
      <c r="K133" s="346"/>
      <c r="L133" s="269"/>
      <c r="M133" s="346"/>
      <c r="N133" s="371"/>
      <c r="O133" s="322">
        <f t="shared" si="31"/>
        <v>2860</v>
      </c>
    </row>
    <row r="134" spans="1:15" ht="15">
      <c r="A134" s="323" t="s">
        <v>461</v>
      </c>
      <c r="B134" s="299" t="s">
        <v>620</v>
      </c>
      <c r="C134" s="234">
        <f>463646+39936</f>
        <v>503582</v>
      </c>
      <c r="D134" s="234"/>
      <c r="E134" s="234"/>
      <c r="F134" s="234"/>
      <c r="G134" s="262">
        <f>39170+2500</f>
        <v>41670</v>
      </c>
      <c r="H134" s="262"/>
      <c r="I134" s="262"/>
      <c r="J134" s="377"/>
      <c r="K134" s="263"/>
      <c r="L134" s="263"/>
      <c r="M134" s="361">
        <v>4763</v>
      </c>
      <c r="N134" s="371"/>
      <c r="O134" s="322">
        <f t="shared" si="31"/>
        <v>550015</v>
      </c>
    </row>
    <row r="135" spans="1:15" ht="47.25">
      <c r="A135" s="379" t="s">
        <v>621</v>
      </c>
      <c r="B135" s="380" t="s">
        <v>622</v>
      </c>
      <c r="C135" s="236">
        <f>362720+25397</f>
        <v>388117</v>
      </c>
      <c r="D135" s="236"/>
      <c r="E135" s="236"/>
      <c r="F135" s="236"/>
      <c r="G135" s="262"/>
      <c r="H135" s="381"/>
      <c r="I135" s="381"/>
      <c r="J135" s="382"/>
      <c r="K135" s="264"/>
      <c r="L135" s="264"/>
      <c r="M135" s="383"/>
      <c r="N135" s="264"/>
      <c r="O135" s="322">
        <f t="shared" si="31"/>
        <v>388117</v>
      </c>
    </row>
    <row r="136" spans="1:15" ht="31.5">
      <c r="A136" s="323" t="s">
        <v>623</v>
      </c>
      <c r="B136" s="362" t="s">
        <v>624</v>
      </c>
      <c r="C136" s="236">
        <v>802064</v>
      </c>
      <c r="D136" s="236"/>
      <c r="E136" s="236"/>
      <c r="F136" s="236"/>
      <c r="G136" s="262"/>
      <c r="H136" s="381"/>
      <c r="I136" s="381"/>
      <c r="J136" s="382"/>
      <c r="K136" s="264"/>
      <c r="L136" s="264"/>
      <c r="M136" s="383"/>
      <c r="N136" s="264"/>
      <c r="O136" s="322">
        <f t="shared" si="31"/>
        <v>802064</v>
      </c>
    </row>
    <row r="137" spans="1:15" ht="63">
      <c r="A137" s="323" t="s">
        <v>625</v>
      </c>
      <c r="B137" s="384" t="s">
        <v>626</v>
      </c>
      <c r="C137" s="568">
        <f>55000-3745+454</f>
        <v>51709</v>
      </c>
      <c r="D137" s="236"/>
      <c r="E137" s="236"/>
      <c r="F137" s="236"/>
      <c r="G137" s="262"/>
      <c r="H137" s="381"/>
      <c r="I137" s="381"/>
      <c r="J137" s="382"/>
      <c r="K137" s="264"/>
      <c r="L137" s="264"/>
      <c r="M137" s="383"/>
      <c r="N137" s="264"/>
      <c r="O137" s="322">
        <f t="shared" si="31"/>
        <v>51709</v>
      </c>
    </row>
    <row r="138" spans="1:15" ht="30">
      <c r="A138" s="323" t="s">
        <v>894</v>
      </c>
      <c r="B138" s="551" t="s">
        <v>895</v>
      </c>
      <c r="C138" s="236"/>
      <c r="D138" s="236"/>
      <c r="E138" s="236"/>
      <c r="F138" s="236"/>
      <c r="G138" s="262"/>
      <c r="H138" s="381"/>
      <c r="I138" s="381"/>
      <c r="J138" s="569">
        <v>260</v>
      </c>
      <c r="K138" s="264"/>
      <c r="L138" s="264"/>
      <c r="M138" s="383"/>
      <c r="N138" s="264"/>
      <c r="O138" s="322">
        <f t="shared" si="31"/>
        <v>260</v>
      </c>
    </row>
    <row r="139" spans="1:15" ht="30">
      <c r="A139" s="323" t="s">
        <v>546</v>
      </c>
      <c r="B139" s="537" t="s">
        <v>562</v>
      </c>
      <c r="C139" s="326">
        <f>1059138+26490</f>
        <v>1085628</v>
      </c>
      <c r="D139" s="234"/>
      <c r="E139" s="236"/>
      <c r="F139" s="236"/>
      <c r="G139" s="261"/>
      <c r="H139" s="385"/>
      <c r="I139" s="385"/>
      <c r="J139" s="382"/>
      <c r="K139" s="264"/>
      <c r="L139" s="264"/>
      <c r="M139" s="264"/>
      <c r="N139" s="371"/>
      <c r="O139" s="231">
        <f t="shared" si="31"/>
        <v>1085628</v>
      </c>
    </row>
    <row r="140" spans="1:15" ht="30.75" thickBot="1">
      <c r="A140" s="373" t="s">
        <v>694</v>
      </c>
      <c r="B140" s="536" t="s">
        <v>695</v>
      </c>
      <c r="C140" s="386">
        <v>8470</v>
      </c>
      <c r="D140" s="268"/>
      <c r="E140" s="268"/>
      <c r="F140" s="268"/>
      <c r="G140" s="365"/>
      <c r="H140" s="365"/>
      <c r="I140" s="365"/>
      <c r="J140" s="387"/>
      <c r="K140" s="346"/>
      <c r="L140" s="346"/>
      <c r="M140" s="346"/>
      <c r="N140" s="346"/>
      <c r="O140" s="231">
        <f t="shared" si="31"/>
        <v>8470</v>
      </c>
    </row>
    <row r="141" spans="1:15" ht="15.75" thickBot="1">
      <c r="A141" s="340" t="s">
        <v>13</v>
      </c>
      <c r="B141" s="222" t="s">
        <v>104</v>
      </c>
      <c r="C141" s="224">
        <f aca="true" t="shared" si="32" ref="C141:N141">SUM(C142+C144+C145)</f>
        <v>193316</v>
      </c>
      <c r="D141" s="224">
        <f t="shared" si="32"/>
        <v>0</v>
      </c>
      <c r="E141" s="224">
        <f t="shared" si="32"/>
        <v>0</v>
      </c>
      <c r="F141" s="224">
        <f t="shared" si="32"/>
        <v>0</v>
      </c>
      <c r="G141" s="224">
        <f t="shared" si="32"/>
        <v>1930</v>
      </c>
      <c r="H141" s="224">
        <f t="shared" si="32"/>
        <v>0</v>
      </c>
      <c r="I141" s="224">
        <f t="shared" si="32"/>
        <v>0</v>
      </c>
      <c r="J141" s="224">
        <f t="shared" si="32"/>
        <v>0</v>
      </c>
      <c r="K141" s="224">
        <f t="shared" si="32"/>
        <v>3194</v>
      </c>
      <c r="L141" s="224">
        <f t="shared" si="32"/>
        <v>26433</v>
      </c>
      <c r="M141" s="224">
        <f t="shared" si="32"/>
        <v>410</v>
      </c>
      <c r="N141" s="224">
        <f t="shared" si="32"/>
        <v>2846</v>
      </c>
      <c r="O141" s="225">
        <f>SUM(C141:N141)</f>
        <v>228129</v>
      </c>
    </row>
    <row r="142" spans="1:15" s="213" customFormat="1" ht="14.25">
      <c r="A142" s="314" t="s">
        <v>105</v>
      </c>
      <c r="B142" s="315" t="s">
        <v>106</v>
      </c>
      <c r="C142" s="316">
        <f aca="true" t="shared" si="33" ref="C142:N142">SUM(C143:C143)</f>
        <v>0</v>
      </c>
      <c r="D142" s="316">
        <f t="shared" si="33"/>
        <v>0</v>
      </c>
      <c r="E142" s="316">
        <f t="shared" si="33"/>
        <v>0</v>
      </c>
      <c r="F142" s="316">
        <f t="shared" si="33"/>
        <v>0</v>
      </c>
      <c r="G142" s="316">
        <f t="shared" si="33"/>
        <v>1930</v>
      </c>
      <c r="H142" s="316">
        <f t="shared" si="33"/>
        <v>0</v>
      </c>
      <c r="I142" s="316">
        <f t="shared" si="33"/>
        <v>0</v>
      </c>
      <c r="J142" s="316">
        <f t="shared" si="33"/>
        <v>0</v>
      </c>
      <c r="K142" s="316">
        <f t="shared" si="33"/>
        <v>3194</v>
      </c>
      <c r="L142" s="316">
        <f t="shared" si="33"/>
        <v>26433</v>
      </c>
      <c r="M142" s="316">
        <f t="shared" si="33"/>
        <v>410</v>
      </c>
      <c r="N142" s="316">
        <f t="shared" si="33"/>
        <v>2846</v>
      </c>
      <c r="O142" s="231">
        <f>SUM(C142:N142)</f>
        <v>34813</v>
      </c>
    </row>
    <row r="143" spans="1:15" s="213" customFormat="1" ht="15">
      <c r="A143" s="323" t="s">
        <v>452</v>
      </c>
      <c r="B143" s="233" t="s">
        <v>179</v>
      </c>
      <c r="C143" s="360"/>
      <c r="D143" s="316"/>
      <c r="E143" s="316"/>
      <c r="F143" s="316"/>
      <c r="G143" s="281">
        <v>1930</v>
      </c>
      <c r="H143" s="316"/>
      <c r="I143" s="316"/>
      <c r="J143" s="316"/>
      <c r="K143" s="316">
        <v>3194</v>
      </c>
      <c r="L143" s="570">
        <f>26333+100</f>
        <v>26433</v>
      </c>
      <c r="M143" s="316">
        <v>410</v>
      </c>
      <c r="N143" s="316">
        <f>1340+1506</f>
        <v>2846</v>
      </c>
      <c r="O143" s="231">
        <f>SUM(C143:N143)</f>
        <v>34813</v>
      </c>
    </row>
    <row r="144" spans="1:15" ht="31.5" customHeight="1">
      <c r="A144" s="323" t="s">
        <v>426</v>
      </c>
      <c r="B144" s="233" t="s">
        <v>463</v>
      </c>
      <c r="C144" s="236">
        <v>174516</v>
      </c>
      <c r="D144" s="234"/>
      <c r="E144" s="234"/>
      <c r="F144" s="236"/>
      <c r="G144" s="262"/>
      <c r="H144" s="261"/>
      <c r="I144" s="261"/>
      <c r="J144" s="263"/>
      <c r="K144" s="263"/>
      <c r="L144" s="263"/>
      <c r="M144" s="263"/>
      <c r="N144" s="264"/>
      <c r="O144" s="322">
        <f t="shared" si="31"/>
        <v>174516</v>
      </c>
    </row>
    <row r="145" spans="1:15" ht="15.75" thickBot="1">
      <c r="A145" s="323" t="s">
        <v>545</v>
      </c>
      <c r="B145" s="388" t="s">
        <v>552</v>
      </c>
      <c r="C145" s="268">
        <v>18800</v>
      </c>
      <c r="D145" s="268"/>
      <c r="E145" s="268"/>
      <c r="F145" s="268"/>
      <c r="G145" s="389"/>
      <c r="H145" s="365"/>
      <c r="I145" s="365"/>
      <c r="J145" s="346"/>
      <c r="K145" s="346"/>
      <c r="L145" s="346"/>
      <c r="M145" s="346"/>
      <c r="N145" s="346"/>
      <c r="O145" s="322">
        <f t="shared" si="31"/>
        <v>18800</v>
      </c>
    </row>
    <row r="146" spans="1:16" ht="15.75" thickBot="1">
      <c r="A146" s="340" t="s">
        <v>15</v>
      </c>
      <c r="B146" s="222" t="s">
        <v>107</v>
      </c>
      <c r="C146" s="224">
        <f aca="true" t="shared" si="34" ref="C146:N146">C147+C151+C175+C178</f>
        <v>3519622</v>
      </c>
      <c r="D146" s="224">
        <f t="shared" si="34"/>
        <v>298560</v>
      </c>
      <c r="E146" s="224">
        <f t="shared" si="34"/>
        <v>1374489</v>
      </c>
      <c r="F146" s="224">
        <f t="shared" si="34"/>
        <v>0</v>
      </c>
      <c r="G146" s="224">
        <f t="shared" si="34"/>
        <v>212556</v>
      </c>
      <c r="H146" s="224">
        <f t="shared" si="34"/>
        <v>106304</v>
      </c>
      <c r="I146" s="224">
        <f t="shared" si="34"/>
        <v>115344</v>
      </c>
      <c r="J146" s="224">
        <f t="shared" si="34"/>
        <v>206306</v>
      </c>
      <c r="K146" s="224">
        <f t="shared" si="34"/>
        <v>39938</v>
      </c>
      <c r="L146" s="224">
        <f t="shared" si="34"/>
        <v>37053</v>
      </c>
      <c r="M146" s="224">
        <f t="shared" si="34"/>
        <v>89356</v>
      </c>
      <c r="N146" s="224">
        <f t="shared" si="34"/>
        <v>65456</v>
      </c>
      <c r="O146" s="225">
        <f t="shared" si="31"/>
        <v>6064984</v>
      </c>
      <c r="P146" s="213"/>
    </row>
    <row r="147" spans="1:15" ht="15">
      <c r="A147" s="314" t="s">
        <v>108</v>
      </c>
      <c r="B147" s="315" t="s">
        <v>109</v>
      </c>
      <c r="C147" s="316">
        <f>SUM(C148:C150)</f>
        <v>370372</v>
      </c>
      <c r="D147" s="316">
        <f aca="true" t="shared" si="35" ref="D147:N147">SUM(D148:D150)</f>
        <v>298560</v>
      </c>
      <c r="E147" s="316">
        <f t="shared" si="35"/>
        <v>0</v>
      </c>
      <c r="F147" s="316">
        <f t="shared" si="35"/>
        <v>0</v>
      </c>
      <c r="G147" s="316">
        <f t="shared" si="35"/>
        <v>5546</v>
      </c>
      <c r="H147" s="316">
        <f t="shared" si="35"/>
        <v>0</v>
      </c>
      <c r="I147" s="316">
        <f t="shared" si="35"/>
        <v>0</v>
      </c>
      <c r="J147" s="316">
        <f t="shared" si="35"/>
        <v>7372</v>
      </c>
      <c r="K147" s="316">
        <f t="shared" si="35"/>
        <v>0</v>
      </c>
      <c r="L147" s="316">
        <f t="shared" si="35"/>
        <v>0</v>
      </c>
      <c r="M147" s="316">
        <f t="shared" si="35"/>
        <v>9967</v>
      </c>
      <c r="N147" s="316">
        <f t="shared" si="35"/>
        <v>0</v>
      </c>
      <c r="O147" s="368">
        <f t="shared" si="31"/>
        <v>691817</v>
      </c>
    </row>
    <row r="148" spans="1:15" ht="15">
      <c r="A148" s="323" t="s">
        <v>272</v>
      </c>
      <c r="B148" s="233" t="s">
        <v>110</v>
      </c>
      <c r="C148" s="236">
        <f>56185+3187</f>
        <v>59372</v>
      </c>
      <c r="D148" s="234"/>
      <c r="E148" s="234"/>
      <c r="F148" s="236"/>
      <c r="G148" s="262">
        <v>5546</v>
      </c>
      <c r="H148" s="261"/>
      <c r="I148" s="261"/>
      <c r="J148" s="263">
        <v>7372</v>
      </c>
      <c r="K148" s="263"/>
      <c r="L148" s="263"/>
      <c r="M148" s="361">
        <v>9967</v>
      </c>
      <c r="N148" s="264"/>
      <c r="O148" s="322">
        <f t="shared" si="31"/>
        <v>82257</v>
      </c>
    </row>
    <row r="149" spans="1:15" ht="30">
      <c r="A149" s="323" t="s">
        <v>273</v>
      </c>
      <c r="B149" s="233" t="s">
        <v>111</v>
      </c>
      <c r="C149" s="568">
        <f>225260+45000+40740</f>
        <v>311000</v>
      </c>
      <c r="D149" s="234"/>
      <c r="E149" s="234"/>
      <c r="F149" s="236"/>
      <c r="G149" s="261"/>
      <c r="H149" s="261"/>
      <c r="I149" s="261"/>
      <c r="J149" s="263"/>
      <c r="K149" s="263"/>
      <c r="L149" s="263"/>
      <c r="M149" s="263"/>
      <c r="N149" s="264"/>
      <c r="O149" s="322">
        <f t="shared" si="31"/>
        <v>311000</v>
      </c>
    </row>
    <row r="150" spans="1:15" ht="15">
      <c r="A150" s="323" t="s">
        <v>383</v>
      </c>
      <c r="B150" s="233" t="s">
        <v>384</v>
      </c>
      <c r="C150" s="571"/>
      <c r="D150" s="236">
        <f>328045-29485</f>
        <v>298560</v>
      </c>
      <c r="E150" s="236"/>
      <c r="F150" s="236"/>
      <c r="G150" s="261"/>
      <c r="H150" s="385"/>
      <c r="I150" s="385"/>
      <c r="J150" s="264"/>
      <c r="K150" s="264"/>
      <c r="L150" s="264"/>
      <c r="M150" s="264"/>
      <c r="N150" s="264"/>
      <c r="O150" s="322">
        <f t="shared" si="31"/>
        <v>298560</v>
      </c>
    </row>
    <row r="151" spans="1:15" ht="15">
      <c r="A151" s="321" t="s">
        <v>112</v>
      </c>
      <c r="B151" s="301" t="s">
        <v>14</v>
      </c>
      <c r="C151" s="567">
        <f aca="true" t="shared" si="36" ref="C151:N151">SUM(C152+C153+C158+C163)</f>
        <v>3024842</v>
      </c>
      <c r="D151" s="288">
        <f t="shared" si="36"/>
        <v>0</v>
      </c>
      <c r="E151" s="288">
        <f t="shared" si="36"/>
        <v>1374489</v>
      </c>
      <c r="F151" s="288">
        <f t="shared" si="36"/>
        <v>0</v>
      </c>
      <c r="G151" s="288">
        <f t="shared" si="36"/>
        <v>207010</v>
      </c>
      <c r="H151" s="288">
        <f t="shared" si="36"/>
        <v>106304</v>
      </c>
      <c r="I151" s="288">
        <f t="shared" si="36"/>
        <v>111584</v>
      </c>
      <c r="J151" s="288">
        <f t="shared" si="36"/>
        <v>195145</v>
      </c>
      <c r="K151" s="288">
        <f t="shared" si="36"/>
        <v>39938</v>
      </c>
      <c r="L151" s="288">
        <f t="shared" si="36"/>
        <v>37053</v>
      </c>
      <c r="M151" s="288">
        <f t="shared" si="36"/>
        <v>79389</v>
      </c>
      <c r="N151" s="288">
        <f t="shared" si="36"/>
        <v>65456</v>
      </c>
      <c r="O151" s="322">
        <f t="shared" si="31"/>
        <v>5241210</v>
      </c>
    </row>
    <row r="152" spans="1:15" ht="15">
      <c r="A152" s="323" t="s">
        <v>497</v>
      </c>
      <c r="B152" s="233" t="s">
        <v>180</v>
      </c>
      <c r="C152" s="568">
        <f>359158+241248+1990</f>
        <v>602396</v>
      </c>
      <c r="D152" s="234"/>
      <c r="E152" s="234"/>
      <c r="F152" s="236"/>
      <c r="G152" s="245">
        <v>31379</v>
      </c>
      <c r="H152" s="262">
        <v>32799</v>
      </c>
      <c r="I152" s="262">
        <v>13589</v>
      </c>
      <c r="J152" s="263">
        <v>29903</v>
      </c>
      <c r="K152" s="263">
        <v>14927</v>
      </c>
      <c r="L152" s="561">
        <f>13331+120</f>
        <v>13451</v>
      </c>
      <c r="M152" s="361">
        <v>17533</v>
      </c>
      <c r="N152" s="390">
        <f>17359+20</f>
        <v>17379</v>
      </c>
      <c r="O152" s="322">
        <f t="shared" si="31"/>
        <v>773356</v>
      </c>
    </row>
    <row r="153" spans="1:15" ht="15">
      <c r="A153" s="323" t="s">
        <v>627</v>
      </c>
      <c r="B153" s="233" t="s">
        <v>157</v>
      </c>
      <c r="C153" s="236">
        <f aca="true" t="shared" si="37" ref="C153:N153">SUM(C154:C157)</f>
        <v>368094</v>
      </c>
      <c r="D153" s="236">
        <f t="shared" si="37"/>
        <v>0</v>
      </c>
      <c r="E153" s="236">
        <f t="shared" si="37"/>
        <v>0</v>
      </c>
      <c r="F153" s="236">
        <f t="shared" si="37"/>
        <v>0</v>
      </c>
      <c r="G153" s="236">
        <f t="shared" si="37"/>
        <v>0</v>
      </c>
      <c r="H153" s="236">
        <f t="shared" si="37"/>
        <v>0</v>
      </c>
      <c r="I153" s="236">
        <f t="shared" si="37"/>
        <v>0</v>
      </c>
      <c r="J153" s="236">
        <f t="shared" si="37"/>
        <v>0</v>
      </c>
      <c r="K153" s="236">
        <f t="shared" si="37"/>
        <v>0</v>
      </c>
      <c r="L153" s="236">
        <f t="shared" si="37"/>
        <v>0</v>
      </c>
      <c r="M153" s="236">
        <f t="shared" si="37"/>
        <v>8135</v>
      </c>
      <c r="N153" s="236">
        <f t="shared" si="37"/>
        <v>0</v>
      </c>
      <c r="O153" s="322">
        <f t="shared" si="31"/>
        <v>376229</v>
      </c>
    </row>
    <row r="154" spans="1:15" ht="15">
      <c r="A154" s="323" t="s">
        <v>274</v>
      </c>
      <c r="B154" s="233" t="s">
        <v>158</v>
      </c>
      <c r="C154" s="236"/>
      <c r="D154" s="234"/>
      <c r="E154" s="234"/>
      <c r="F154" s="236"/>
      <c r="G154" s="261"/>
      <c r="H154" s="261"/>
      <c r="I154" s="262"/>
      <c r="J154" s="263"/>
      <c r="K154" s="263"/>
      <c r="L154" s="263"/>
      <c r="M154" s="263"/>
      <c r="N154" s="390"/>
      <c r="O154" s="322">
        <f t="shared" si="31"/>
        <v>0</v>
      </c>
    </row>
    <row r="155" spans="1:15" ht="15">
      <c r="A155" s="323" t="s">
        <v>275</v>
      </c>
      <c r="B155" s="233" t="s">
        <v>331</v>
      </c>
      <c r="C155" s="326">
        <f>198636+6030</f>
        <v>204666</v>
      </c>
      <c r="D155" s="234"/>
      <c r="E155" s="234"/>
      <c r="F155" s="236"/>
      <c r="G155" s="261"/>
      <c r="H155" s="261"/>
      <c r="I155" s="262"/>
      <c r="J155" s="263"/>
      <c r="K155" s="263"/>
      <c r="L155" s="263"/>
      <c r="M155" s="263"/>
      <c r="N155" s="390"/>
      <c r="O155" s="322">
        <f t="shared" si="31"/>
        <v>204666</v>
      </c>
    </row>
    <row r="156" spans="1:15" ht="30">
      <c r="A156" s="323" t="s">
        <v>385</v>
      </c>
      <c r="B156" s="303" t="s">
        <v>628</v>
      </c>
      <c r="C156" s="236">
        <v>163428</v>
      </c>
      <c r="D156" s="234"/>
      <c r="E156" s="234"/>
      <c r="F156" s="236"/>
      <c r="G156" s="261"/>
      <c r="H156" s="261"/>
      <c r="I156" s="262"/>
      <c r="J156" s="263"/>
      <c r="K156" s="263"/>
      <c r="L156" s="263"/>
      <c r="M156" s="263"/>
      <c r="N156" s="390"/>
      <c r="O156" s="322">
        <f t="shared" si="31"/>
        <v>163428</v>
      </c>
    </row>
    <row r="157" spans="1:15" ht="15">
      <c r="A157" s="323" t="s">
        <v>514</v>
      </c>
      <c r="B157" s="303" t="s">
        <v>629</v>
      </c>
      <c r="C157" s="324"/>
      <c r="D157" s="236"/>
      <c r="E157" s="236"/>
      <c r="F157" s="236"/>
      <c r="G157" s="385"/>
      <c r="H157" s="385"/>
      <c r="I157" s="381"/>
      <c r="J157" s="264"/>
      <c r="K157" s="264"/>
      <c r="L157" s="264"/>
      <c r="M157" s="361">
        <v>8135</v>
      </c>
      <c r="N157" s="390"/>
      <c r="O157" s="322">
        <f t="shared" si="31"/>
        <v>8135</v>
      </c>
    </row>
    <row r="158" spans="1:15" ht="15">
      <c r="A158" s="323" t="s">
        <v>113</v>
      </c>
      <c r="B158" s="233" t="s">
        <v>630</v>
      </c>
      <c r="C158" s="236">
        <f aca="true" t="shared" si="38" ref="C158:N158">SUM(C159:C162)</f>
        <v>456300</v>
      </c>
      <c r="D158" s="236">
        <f t="shared" si="38"/>
        <v>0</v>
      </c>
      <c r="E158" s="236">
        <f t="shared" si="38"/>
        <v>1374489</v>
      </c>
      <c r="F158" s="236">
        <f t="shared" si="38"/>
        <v>0</v>
      </c>
      <c r="G158" s="236">
        <f t="shared" si="38"/>
        <v>175631</v>
      </c>
      <c r="H158" s="236">
        <f t="shared" si="38"/>
        <v>73505</v>
      </c>
      <c r="I158" s="236">
        <f t="shared" si="38"/>
        <v>95195</v>
      </c>
      <c r="J158" s="236">
        <f t="shared" si="38"/>
        <v>159692</v>
      </c>
      <c r="K158" s="236">
        <f t="shared" si="38"/>
        <v>24651</v>
      </c>
      <c r="L158" s="236">
        <f t="shared" si="38"/>
        <v>23202</v>
      </c>
      <c r="M158" s="236">
        <f t="shared" si="38"/>
        <v>53321</v>
      </c>
      <c r="N158" s="236">
        <f t="shared" si="38"/>
        <v>39577</v>
      </c>
      <c r="O158" s="322">
        <f>SUM(C158:N158)</f>
        <v>2475563</v>
      </c>
    </row>
    <row r="159" spans="1:15" ht="15">
      <c r="A159" s="323" t="s">
        <v>427</v>
      </c>
      <c r="B159" s="233" t="s">
        <v>465</v>
      </c>
      <c r="C159" s="324"/>
      <c r="D159" s="234"/>
      <c r="E159" s="234">
        <f>334350-5118</f>
        <v>329232</v>
      </c>
      <c r="F159" s="236"/>
      <c r="G159" s="245">
        <f>171801+3830</f>
        <v>175631</v>
      </c>
      <c r="H159" s="262">
        <v>73505</v>
      </c>
      <c r="I159" s="262">
        <v>77336</v>
      </c>
      <c r="J159" s="263">
        <v>159692</v>
      </c>
      <c r="K159" s="263">
        <v>24651</v>
      </c>
      <c r="L159" s="561">
        <f>22436+766</f>
        <v>23202</v>
      </c>
      <c r="M159" s="361">
        <v>53321</v>
      </c>
      <c r="N159" s="390">
        <f>38751+826</f>
        <v>39577</v>
      </c>
      <c r="O159" s="322">
        <f t="shared" si="31"/>
        <v>956147</v>
      </c>
    </row>
    <row r="160" spans="1:15" ht="15">
      <c r="A160" s="323" t="s">
        <v>515</v>
      </c>
      <c r="B160" s="233" t="s">
        <v>631</v>
      </c>
      <c r="C160" s="324"/>
      <c r="D160" s="234"/>
      <c r="E160" s="234"/>
      <c r="F160" s="236"/>
      <c r="G160" s="245"/>
      <c r="H160" s="262"/>
      <c r="I160" s="262">
        <v>17859</v>
      </c>
      <c r="J160" s="263"/>
      <c r="K160" s="263"/>
      <c r="L160" s="263"/>
      <c r="M160" s="263"/>
      <c r="N160" s="390"/>
      <c r="O160" s="322">
        <f t="shared" si="31"/>
        <v>17859</v>
      </c>
    </row>
    <row r="161" spans="1:15" ht="15">
      <c r="A161" s="323" t="s">
        <v>464</v>
      </c>
      <c r="B161" s="233" t="s">
        <v>159</v>
      </c>
      <c r="C161" s="324"/>
      <c r="D161" s="234"/>
      <c r="E161" s="234">
        <f>1104469-59212</f>
        <v>1045257</v>
      </c>
      <c r="F161" s="236"/>
      <c r="G161" s="261"/>
      <c r="H161" s="261"/>
      <c r="I161" s="261"/>
      <c r="J161" s="263"/>
      <c r="K161" s="263"/>
      <c r="L161" s="263"/>
      <c r="M161" s="263"/>
      <c r="N161" s="264"/>
      <c r="O161" s="322">
        <f t="shared" si="31"/>
        <v>1045257</v>
      </c>
    </row>
    <row r="162" spans="1:15" ht="30">
      <c r="A162" s="323" t="s">
        <v>632</v>
      </c>
      <c r="B162" s="233" t="s">
        <v>633</v>
      </c>
      <c r="C162" s="236">
        <f>526100-69800</f>
        <v>456300</v>
      </c>
      <c r="D162" s="234"/>
      <c r="E162" s="234"/>
      <c r="F162" s="236"/>
      <c r="G162" s="261"/>
      <c r="H162" s="261"/>
      <c r="I162" s="261"/>
      <c r="J162" s="263"/>
      <c r="K162" s="263"/>
      <c r="L162" s="263"/>
      <c r="M162" s="263"/>
      <c r="N162" s="264"/>
      <c r="O162" s="322">
        <f t="shared" si="31"/>
        <v>456300</v>
      </c>
    </row>
    <row r="163" spans="1:15" s="213" customFormat="1" ht="14.25">
      <c r="A163" s="321" t="s">
        <v>114</v>
      </c>
      <c r="B163" s="284" t="s">
        <v>276</v>
      </c>
      <c r="C163" s="348">
        <f aca="true" t="shared" si="39" ref="C163:N163">SUM(C164:C174)</f>
        <v>1598052</v>
      </c>
      <c r="D163" s="348">
        <f t="shared" si="39"/>
        <v>0</v>
      </c>
      <c r="E163" s="348">
        <f t="shared" si="39"/>
        <v>0</v>
      </c>
      <c r="F163" s="348">
        <f t="shared" si="39"/>
        <v>0</v>
      </c>
      <c r="G163" s="348">
        <f t="shared" si="39"/>
        <v>0</v>
      </c>
      <c r="H163" s="348">
        <f t="shared" si="39"/>
        <v>0</v>
      </c>
      <c r="I163" s="348">
        <f t="shared" si="39"/>
        <v>2800</v>
      </c>
      <c r="J163" s="348">
        <f t="shared" si="39"/>
        <v>5550</v>
      </c>
      <c r="K163" s="348">
        <f t="shared" si="39"/>
        <v>360</v>
      </c>
      <c r="L163" s="348">
        <f t="shared" si="39"/>
        <v>400</v>
      </c>
      <c r="M163" s="348">
        <f t="shared" si="39"/>
        <v>400</v>
      </c>
      <c r="N163" s="348">
        <f t="shared" si="39"/>
        <v>8500</v>
      </c>
      <c r="O163" s="322">
        <f t="shared" si="31"/>
        <v>1616062</v>
      </c>
    </row>
    <row r="164" spans="1:15" ht="15">
      <c r="A164" s="323" t="s">
        <v>277</v>
      </c>
      <c r="B164" s="303" t="s">
        <v>634</v>
      </c>
      <c r="C164" s="326">
        <f>55348+12780</f>
        <v>68128</v>
      </c>
      <c r="D164" s="234"/>
      <c r="E164" s="234"/>
      <c r="F164" s="236"/>
      <c r="G164" s="262"/>
      <c r="H164" s="261"/>
      <c r="I164" s="262"/>
      <c r="J164" s="263"/>
      <c r="K164" s="263"/>
      <c r="L164" s="263"/>
      <c r="M164" s="263"/>
      <c r="N164" s="264">
        <v>7500</v>
      </c>
      <c r="O164" s="322">
        <f t="shared" si="31"/>
        <v>75628</v>
      </c>
    </row>
    <row r="165" spans="1:15" ht="15">
      <c r="A165" s="323" t="s">
        <v>278</v>
      </c>
      <c r="B165" s="303" t="s">
        <v>635</v>
      </c>
      <c r="C165" s="326">
        <f>80816+25000</f>
        <v>105816</v>
      </c>
      <c r="D165" s="234"/>
      <c r="E165" s="234"/>
      <c r="F165" s="236"/>
      <c r="G165" s="261"/>
      <c r="H165" s="261"/>
      <c r="I165" s="261"/>
      <c r="J165" s="263"/>
      <c r="K165" s="263"/>
      <c r="L165" s="263"/>
      <c r="M165" s="263"/>
      <c r="N165" s="264"/>
      <c r="O165" s="322">
        <f t="shared" si="31"/>
        <v>105816</v>
      </c>
    </row>
    <row r="166" spans="1:15" ht="15">
      <c r="A166" s="323" t="s">
        <v>279</v>
      </c>
      <c r="B166" s="376" t="s">
        <v>636</v>
      </c>
      <c r="C166" s="236">
        <v>500</v>
      </c>
      <c r="D166" s="234"/>
      <c r="E166" s="234"/>
      <c r="F166" s="236"/>
      <c r="G166" s="261"/>
      <c r="H166" s="261"/>
      <c r="I166" s="261"/>
      <c r="J166" s="263"/>
      <c r="K166" s="263"/>
      <c r="L166" s="263"/>
      <c r="M166" s="263"/>
      <c r="N166" s="264"/>
      <c r="O166" s="322">
        <f t="shared" si="31"/>
        <v>500</v>
      </c>
    </row>
    <row r="167" spans="1:15" ht="60">
      <c r="A167" s="323" t="s">
        <v>429</v>
      </c>
      <c r="B167" s="376" t="s">
        <v>637</v>
      </c>
      <c r="C167" s="236">
        <f>676317+69399</f>
        <v>745716</v>
      </c>
      <c r="D167" s="234"/>
      <c r="E167" s="234"/>
      <c r="F167" s="236"/>
      <c r="G167" s="261"/>
      <c r="H167" s="261"/>
      <c r="I167" s="261"/>
      <c r="J167" s="263"/>
      <c r="K167" s="263"/>
      <c r="L167" s="263"/>
      <c r="M167" s="263"/>
      <c r="N167" s="264"/>
      <c r="O167" s="322">
        <f t="shared" si="31"/>
        <v>745716</v>
      </c>
    </row>
    <row r="168" spans="1:15" ht="30">
      <c r="A168" s="323" t="s">
        <v>453</v>
      </c>
      <c r="B168" s="303" t="s">
        <v>458</v>
      </c>
      <c r="C168" s="236">
        <f>20000-10510</f>
        <v>9490</v>
      </c>
      <c r="D168" s="234"/>
      <c r="E168" s="234"/>
      <c r="F168" s="236"/>
      <c r="G168" s="261"/>
      <c r="H168" s="261"/>
      <c r="I168" s="262">
        <v>2800</v>
      </c>
      <c r="J168" s="561">
        <v>5550</v>
      </c>
      <c r="K168" s="561">
        <v>360</v>
      </c>
      <c r="L168" s="561">
        <v>400</v>
      </c>
      <c r="M168" s="263">
        <v>400</v>
      </c>
      <c r="N168" s="264">
        <v>1000</v>
      </c>
      <c r="O168" s="322">
        <f t="shared" si="31"/>
        <v>20000</v>
      </c>
    </row>
    <row r="169" spans="1:15" ht="30">
      <c r="A169" s="323" t="s">
        <v>459</v>
      </c>
      <c r="B169" s="303" t="s">
        <v>638</v>
      </c>
      <c r="C169" s="236">
        <f>792428-255222</f>
        <v>537206</v>
      </c>
      <c r="D169" s="234"/>
      <c r="E169" s="234"/>
      <c r="F169" s="236"/>
      <c r="G169" s="261"/>
      <c r="H169" s="261"/>
      <c r="I169" s="261"/>
      <c r="J169" s="263"/>
      <c r="K169" s="263"/>
      <c r="L169" s="263"/>
      <c r="M169" s="263"/>
      <c r="N169" s="264"/>
      <c r="O169" s="322">
        <f t="shared" si="31"/>
        <v>537206</v>
      </c>
    </row>
    <row r="170" spans="1:15" ht="45">
      <c r="A170" s="323" t="s">
        <v>362</v>
      </c>
      <c r="B170" s="328" t="s">
        <v>639</v>
      </c>
      <c r="C170" s="236">
        <v>20000</v>
      </c>
      <c r="D170" s="234"/>
      <c r="E170" s="234"/>
      <c r="F170" s="236"/>
      <c r="G170" s="262"/>
      <c r="H170" s="261"/>
      <c r="I170" s="261"/>
      <c r="J170" s="263"/>
      <c r="K170" s="263"/>
      <c r="L170" s="263"/>
      <c r="M170" s="263"/>
      <c r="N170" s="264"/>
      <c r="O170" s="322">
        <f t="shared" si="31"/>
        <v>20000</v>
      </c>
    </row>
    <row r="171" spans="1:15" ht="15.75">
      <c r="A171" s="323" t="s">
        <v>640</v>
      </c>
      <c r="B171" s="362" t="s">
        <v>641</v>
      </c>
      <c r="C171" s="236">
        <v>25415</v>
      </c>
      <c r="D171" s="234"/>
      <c r="E171" s="234"/>
      <c r="F171" s="236"/>
      <c r="G171" s="262"/>
      <c r="H171" s="261"/>
      <c r="I171" s="261"/>
      <c r="J171" s="263"/>
      <c r="K171" s="263"/>
      <c r="L171" s="263"/>
      <c r="M171" s="263"/>
      <c r="N171" s="264"/>
      <c r="O171" s="322">
        <f t="shared" si="31"/>
        <v>25415</v>
      </c>
    </row>
    <row r="172" spans="1:15" ht="30">
      <c r="A172" s="323" t="s">
        <v>480</v>
      </c>
      <c r="B172" s="110" t="s">
        <v>481</v>
      </c>
      <c r="C172" s="236">
        <f>55511+3388</f>
        <v>58899</v>
      </c>
      <c r="D172" s="234"/>
      <c r="E172" s="234"/>
      <c r="F172" s="236"/>
      <c r="G172" s="262"/>
      <c r="H172" s="261"/>
      <c r="I172" s="261"/>
      <c r="J172" s="263"/>
      <c r="K172" s="263"/>
      <c r="L172" s="263"/>
      <c r="M172" s="263"/>
      <c r="N172" s="264"/>
      <c r="O172" s="322">
        <f t="shared" si="31"/>
        <v>58899</v>
      </c>
    </row>
    <row r="173" spans="1:15" ht="30">
      <c r="A173" s="323" t="s">
        <v>516</v>
      </c>
      <c r="B173" s="81" t="s">
        <v>517</v>
      </c>
      <c r="C173" s="236">
        <v>5497</v>
      </c>
      <c r="D173" s="234"/>
      <c r="E173" s="234"/>
      <c r="F173" s="236"/>
      <c r="G173" s="262"/>
      <c r="H173" s="261"/>
      <c r="I173" s="261"/>
      <c r="J173" s="263"/>
      <c r="K173" s="263"/>
      <c r="L173" s="263"/>
      <c r="M173" s="263"/>
      <c r="N173" s="264"/>
      <c r="O173" s="322">
        <f t="shared" si="31"/>
        <v>5497</v>
      </c>
    </row>
    <row r="174" spans="1:15" ht="45">
      <c r="A174" s="323" t="s">
        <v>805</v>
      </c>
      <c r="B174" s="538" t="s">
        <v>804</v>
      </c>
      <c r="C174" s="236">
        <v>21385</v>
      </c>
      <c r="D174" s="236"/>
      <c r="E174" s="236"/>
      <c r="F174" s="236"/>
      <c r="G174" s="381"/>
      <c r="H174" s="385"/>
      <c r="I174" s="385"/>
      <c r="J174" s="264"/>
      <c r="K174" s="264"/>
      <c r="L174" s="264"/>
      <c r="M174" s="264"/>
      <c r="N174" s="264"/>
      <c r="O174" s="322">
        <f t="shared" si="31"/>
        <v>21385</v>
      </c>
    </row>
    <row r="175" spans="1:15" ht="15">
      <c r="A175" s="321" t="s">
        <v>466</v>
      </c>
      <c r="B175" s="391" t="s">
        <v>467</v>
      </c>
      <c r="C175" s="236">
        <f aca="true" t="shared" si="40" ref="C175:N175">SUM(C176:C177)</f>
        <v>109408</v>
      </c>
      <c r="D175" s="236">
        <f t="shared" si="40"/>
        <v>0</v>
      </c>
      <c r="E175" s="236">
        <f t="shared" si="40"/>
        <v>0</v>
      </c>
      <c r="F175" s="236">
        <f t="shared" si="40"/>
        <v>0</v>
      </c>
      <c r="G175" s="236">
        <f t="shared" si="40"/>
        <v>0</v>
      </c>
      <c r="H175" s="236">
        <f t="shared" si="40"/>
        <v>0</v>
      </c>
      <c r="I175" s="236">
        <f>SUM(I176:I177)</f>
        <v>3760</v>
      </c>
      <c r="J175" s="236">
        <f t="shared" si="40"/>
        <v>3789</v>
      </c>
      <c r="K175" s="236">
        <f t="shared" si="40"/>
        <v>0</v>
      </c>
      <c r="L175" s="236">
        <f t="shared" si="40"/>
        <v>0</v>
      </c>
      <c r="M175" s="236">
        <f t="shared" si="40"/>
        <v>0</v>
      </c>
      <c r="N175" s="236">
        <f t="shared" si="40"/>
        <v>0</v>
      </c>
      <c r="O175" s="322">
        <f t="shared" si="31"/>
        <v>116957</v>
      </c>
    </row>
    <row r="176" spans="1:15" ht="15">
      <c r="A176" s="321" t="s">
        <v>518</v>
      </c>
      <c r="B176" s="284" t="s">
        <v>115</v>
      </c>
      <c r="C176" s="392">
        <f>9800+50200-9600</f>
        <v>50400</v>
      </c>
      <c r="D176" s="285"/>
      <c r="E176" s="285"/>
      <c r="F176" s="288"/>
      <c r="G176" s="261"/>
      <c r="H176" s="261"/>
      <c r="I176" s="261"/>
      <c r="J176" s="263"/>
      <c r="K176" s="263"/>
      <c r="L176" s="263"/>
      <c r="M176" s="263"/>
      <c r="N176" s="264"/>
      <c r="O176" s="322">
        <f t="shared" si="31"/>
        <v>50400</v>
      </c>
    </row>
    <row r="177" spans="1:15" ht="29.25">
      <c r="A177" s="321" t="s">
        <v>519</v>
      </c>
      <c r="B177" s="284" t="s">
        <v>117</v>
      </c>
      <c r="C177" s="392">
        <v>59008</v>
      </c>
      <c r="D177" s="285"/>
      <c r="E177" s="285"/>
      <c r="F177" s="288"/>
      <c r="G177" s="261"/>
      <c r="H177" s="261"/>
      <c r="I177" s="262">
        <v>3760</v>
      </c>
      <c r="J177" s="263">
        <v>3789</v>
      </c>
      <c r="K177" s="263"/>
      <c r="L177" s="263"/>
      <c r="M177" s="263"/>
      <c r="N177" s="264"/>
      <c r="O177" s="322">
        <f t="shared" si="31"/>
        <v>66557</v>
      </c>
    </row>
    <row r="178" spans="1:15" ht="30" thickBot="1">
      <c r="A178" s="393" t="s">
        <v>520</v>
      </c>
      <c r="B178" s="266" t="s">
        <v>431</v>
      </c>
      <c r="C178" s="351">
        <v>15000</v>
      </c>
      <c r="D178" s="394"/>
      <c r="E178" s="394"/>
      <c r="F178" s="351"/>
      <c r="G178" s="345"/>
      <c r="H178" s="345"/>
      <c r="I178" s="345"/>
      <c r="J178" s="269"/>
      <c r="K178" s="269"/>
      <c r="L178" s="269"/>
      <c r="M178" s="269"/>
      <c r="N178" s="346"/>
      <c r="O178" s="322">
        <f t="shared" si="31"/>
        <v>15000</v>
      </c>
    </row>
    <row r="179" spans="1:16" ht="15.75" thickBot="1">
      <c r="A179" s="395" t="s">
        <v>118</v>
      </c>
      <c r="B179" s="366" t="s">
        <v>8</v>
      </c>
      <c r="C179" s="223">
        <f aca="true" t="shared" si="41" ref="C179:N179">C180+C191+C192+C202+C209+C212+C213</f>
        <v>18682933</v>
      </c>
      <c r="D179" s="223">
        <f t="shared" si="41"/>
        <v>0</v>
      </c>
      <c r="E179" s="223">
        <f t="shared" si="41"/>
        <v>0</v>
      </c>
      <c r="F179" s="223">
        <f t="shared" si="41"/>
        <v>0</v>
      </c>
      <c r="G179" s="223">
        <f t="shared" si="41"/>
        <v>1659580</v>
      </c>
      <c r="H179" s="223">
        <f t="shared" si="41"/>
        <v>0</v>
      </c>
      <c r="I179" s="223">
        <f t="shared" si="41"/>
        <v>474246</v>
      </c>
      <c r="J179" s="223">
        <f t="shared" si="41"/>
        <v>1344243</v>
      </c>
      <c r="K179" s="223">
        <f t="shared" si="41"/>
        <v>27263</v>
      </c>
      <c r="L179" s="223">
        <f t="shared" si="41"/>
        <v>36572</v>
      </c>
      <c r="M179" s="223">
        <f t="shared" si="41"/>
        <v>31713</v>
      </c>
      <c r="N179" s="223">
        <f t="shared" si="41"/>
        <v>602368</v>
      </c>
      <c r="O179" s="225">
        <f t="shared" si="31"/>
        <v>22858918</v>
      </c>
      <c r="P179" s="213"/>
    </row>
    <row r="180" spans="1:15" ht="15">
      <c r="A180" s="314" t="s">
        <v>119</v>
      </c>
      <c r="B180" s="315" t="s">
        <v>280</v>
      </c>
      <c r="C180" s="316">
        <f aca="true" t="shared" si="42" ref="C180:N180">SUM(C181:C190)</f>
        <v>4705297</v>
      </c>
      <c r="D180" s="316">
        <f t="shared" si="42"/>
        <v>0</v>
      </c>
      <c r="E180" s="316">
        <f t="shared" si="42"/>
        <v>0</v>
      </c>
      <c r="F180" s="316">
        <f t="shared" si="42"/>
        <v>0</v>
      </c>
      <c r="G180" s="316">
        <f t="shared" si="42"/>
        <v>0</v>
      </c>
      <c r="H180" s="316">
        <f t="shared" si="42"/>
        <v>0</v>
      </c>
      <c r="I180" s="316">
        <f t="shared" si="42"/>
        <v>0</v>
      </c>
      <c r="J180" s="316">
        <f t="shared" si="42"/>
        <v>351160</v>
      </c>
      <c r="K180" s="316">
        <f t="shared" si="42"/>
        <v>0</v>
      </c>
      <c r="L180" s="316">
        <f t="shared" si="42"/>
        <v>0</v>
      </c>
      <c r="M180" s="316">
        <f t="shared" si="42"/>
        <v>0</v>
      </c>
      <c r="N180" s="316">
        <f t="shared" si="42"/>
        <v>0</v>
      </c>
      <c r="O180" s="368">
        <f t="shared" si="31"/>
        <v>5056457</v>
      </c>
    </row>
    <row r="181" spans="1:15" ht="15">
      <c r="A181" s="323" t="s">
        <v>281</v>
      </c>
      <c r="B181" s="396" t="s">
        <v>120</v>
      </c>
      <c r="C181" s="326">
        <f>823417+2895+45558</f>
        <v>871870</v>
      </c>
      <c r="D181" s="234"/>
      <c r="E181" s="234"/>
      <c r="F181" s="236"/>
      <c r="G181" s="261"/>
      <c r="H181" s="261"/>
      <c r="I181" s="261"/>
      <c r="J181" s="263"/>
      <c r="K181" s="263"/>
      <c r="L181" s="263"/>
      <c r="M181" s="263"/>
      <c r="N181" s="264"/>
      <c r="O181" s="322">
        <f t="shared" si="31"/>
        <v>871870</v>
      </c>
    </row>
    <row r="182" spans="1:15" ht="15">
      <c r="A182" s="323" t="s">
        <v>282</v>
      </c>
      <c r="B182" s="396" t="s">
        <v>121</v>
      </c>
      <c r="C182" s="236">
        <f>595048+1955+32518</f>
        <v>629521</v>
      </c>
      <c r="D182" s="234"/>
      <c r="E182" s="234"/>
      <c r="F182" s="236"/>
      <c r="G182" s="261"/>
      <c r="H182" s="261"/>
      <c r="I182" s="261"/>
      <c r="J182" s="263"/>
      <c r="K182" s="263"/>
      <c r="L182" s="263"/>
      <c r="M182" s="263"/>
      <c r="N182" s="264"/>
      <c r="O182" s="322">
        <f t="shared" si="31"/>
        <v>629521</v>
      </c>
    </row>
    <row r="183" spans="1:15" ht="15">
      <c r="A183" s="323" t="s">
        <v>283</v>
      </c>
      <c r="B183" s="396" t="s">
        <v>122</v>
      </c>
      <c r="C183" s="236">
        <f>624016+2028+39651+1820</f>
        <v>667515</v>
      </c>
      <c r="D183" s="234"/>
      <c r="E183" s="234"/>
      <c r="F183" s="236"/>
      <c r="G183" s="261"/>
      <c r="H183" s="261"/>
      <c r="I183" s="261"/>
      <c r="J183" s="263"/>
      <c r="K183" s="263"/>
      <c r="L183" s="263"/>
      <c r="M183" s="263"/>
      <c r="N183" s="264"/>
      <c r="O183" s="322">
        <f t="shared" si="31"/>
        <v>667515</v>
      </c>
    </row>
    <row r="184" spans="1:15" ht="15">
      <c r="A184" s="323" t="s">
        <v>284</v>
      </c>
      <c r="B184" s="396" t="s">
        <v>123</v>
      </c>
      <c r="C184" s="236">
        <f>703502+1936+38487</f>
        <v>743925</v>
      </c>
      <c r="D184" s="234"/>
      <c r="E184" s="234"/>
      <c r="F184" s="236"/>
      <c r="G184" s="261"/>
      <c r="H184" s="261"/>
      <c r="I184" s="262"/>
      <c r="J184" s="263"/>
      <c r="K184" s="263"/>
      <c r="L184" s="263"/>
      <c r="M184" s="263"/>
      <c r="N184" s="264"/>
      <c r="O184" s="322">
        <f t="shared" si="31"/>
        <v>743925</v>
      </c>
    </row>
    <row r="185" spans="1:15" ht="15">
      <c r="A185" s="323" t="s">
        <v>285</v>
      </c>
      <c r="B185" s="396" t="s">
        <v>124</v>
      </c>
      <c r="C185" s="236">
        <f>388718+3559+14752</f>
        <v>407029</v>
      </c>
      <c r="D185" s="234"/>
      <c r="E185" s="234"/>
      <c r="F185" s="236"/>
      <c r="G185" s="261"/>
      <c r="H185" s="261"/>
      <c r="I185" s="261"/>
      <c r="J185" s="263"/>
      <c r="K185" s="263"/>
      <c r="L185" s="263"/>
      <c r="M185" s="263"/>
      <c r="N185" s="264"/>
      <c r="O185" s="322">
        <f t="shared" si="31"/>
        <v>407029</v>
      </c>
    </row>
    <row r="186" spans="1:15" ht="15">
      <c r="A186" s="323" t="s">
        <v>286</v>
      </c>
      <c r="B186" s="396" t="s">
        <v>161</v>
      </c>
      <c r="C186" s="326">
        <f>753205+1936+36297</f>
        <v>791438</v>
      </c>
      <c r="D186" s="234"/>
      <c r="E186" s="234"/>
      <c r="F186" s="236"/>
      <c r="G186" s="261"/>
      <c r="H186" s="261"/>
      <c r="I186" s="261"/>
      <c r="J186" s="263"/>
      <c r="K186" s="263"/>
      <c r="L186" s="263"/>
      <c r="M186" s="263"/>
      <c r="N186" s="264"/>
      <c r="O186" s="322">
        <f t="shared" si="31"/>
        <v>791438</v>
      </c>
    </row>
    <row r="187" spans="1:15" ht="15">
      <c r="A187" s="323" t="s">
        <v>287</v>
      </c>
      <c r="B187" s="396" t="s">
        <v>181</v>
      </c>
      <c r="C187" s="236">
        <f>390671+1309+15019</f>
        <v>406999</v>
      </c>
      <c r="D187" s="236"/>
      <c r="E187" s="236"/>
      <c r="F187" s="236"/>
      <c r="G187" s="261"/>
      <c r="H187" s="261"/>
      <c r="I187" s="262"/>
      <c r="J187" s="264"/>
      <c r="K187" s="264"/>
      <c r="L187" s="264"/>
      <c r="M187" s="264"/>
      <c r="N187" s="264"/>
      <c r="O187" s="322">
        <f t="shared" si="31"/>
        <v>406999</v>
      </c>
    </row>
    <row r="188" spans="1:15" ht="15">
      <c r="A188" s="323" t="s">
        <v>288</v>
      </c>
      <c r="B188" s="396" t="s">
        <v>182</v>
      </c>
      <c r="C188" s="324"/>
      <c r="D188" s="236"/>
      <c r="E188" s="236"/>
      <c r="F188" s="236"/>
      <c r="G188" s="261"/>
      <c r="H188" s="261"/>
      <c r="I188" s="261"/>
      <c r="J188" s="470">
        <f>334355+2130+14675</f>
        <v>351160</v>
      </c>
      <c r="K188" s="264"/>
      <c r="L188" s="264"/>
      <c r="M188" s="264"/>
      <c r="N188" s="264"/>
      <c r="O188" s="322">
        <f t="shared" si="31"/>
        <v>351160</v>
      </c>
    </row>
    <row r="189" spans="1:15" ht="30">
      <c r="A189" s="323" t="s">
        <v>289</v>
      </c>
      <c r="B189" s="396" t="s">
        <v>642</v>
      </c>
      <c r="C189" s="236">
        <f>150000+37000</f>
        <v>187000</v>
      </c>
      <c r="D189" s="236"/>
      <c r="E189" s="236"/>
      <c r="F189" s="236"/>
      <c r="G189" s="261"/>
      <c r="H189" s="261"/>
      <c r="I189" s="261"/>
      <c r="J189" s="264"/>
      <c r="K189" s="264"/>
      <c r="L189" s="264"/>
      <c r="M189" s="264"/>
      <c r="N189" s="371"/>
      <c r="O189" s="322">
        <f>SUM(C189:N189)</f>
        <v>187000</v>
      </c>
    </row>
    <row r="190" spans="1:15" ht="15">
      <c r="A190" s="323" t="s">
        <v>476</v>
      </c>
      <c r="B190" s="396" t="s">
        <v>643</v>
      </c>
      <c r="C190" s="324"/>
      <c r="D190" s="236"/>
      <c r="E190" s="236"/>
      <c r="F190" s="236"/>
      <c r="G190" s="261"/>
      <c r="H190" s="385"/>
      <c r="I190" s="385"/>
      <c r="J190" s="264"/>
      <c r="K190" s="264"/>
      <c r="L190" s="264"/>
      <c r="M190" s="264"/>
      <c r="N190" s="264"/>
      <c r="O190" s="322">
        <f>SUM(C190:N190)</f>
        <v>0</v>
      </c>
    </row>
    <row r="191" spans="1:15" ht="15">
      <c r="A191" s="321" t="s">
        <v>126</v>
      </c>
      <c r="B191" s="397" t="s">
        <v>290</v>
      </c>
      <c r="C191" s="326">
        <f>1083846+18300+307252+9947</f>
        <v>1419345</v>
      </c>
      <c r="D191" s="236"/>
      <c r="E191" s="236"/>
      <c r="F191" s="236"/>
      <c r="G191" s="245"/>
      <c r="H191" s="385"/>
      <c r="I191" s="385"/>
      <c r="J191" s="264"/>
      <c r="K191" s="264"/>
      <c r="L191" s="264"/>
      <c r="M191" s="264"/>
      <c r="N191" s="264"/>
      <c r="O191" s="322">
        <f>SUM(C191:N191)</f>
        <v>1419345</v>
      </c>
    </row>
    <row r="192" spans="1:15" ht="29.25">
      <c r="A192" s="321" t="s">
        <v>185</v>
      </c>
      <c r="B192" s="284" t="s">
        <v>291</v>
      </c>
      <c r="C192" s="288">
        <f aca="true" t="shared" si="43" ref="C192:N192">SUM(C193:C201)</f>
        <v>5705108</v>
      </c>
      <c r="D192" s="288">
        <f t="shared" si="43"/>
        <v>0</v>
      </c>
      <c r="E192" s="288">
        <f t="shared" si="43"/>
        <v>0</v>
      </c>
      <c r="F192" s="288">
        <f t="shared" si="43"/>
        <v>0</v>
      </c>
      <c r="G192" s="285">
        <f t="shared" si="43"/>
        <v>1522918</v>
      </c>
      <c r="H192" s="288">
        <f t="shared" si="43"/>
        <v>0</v>
      </c>
      <c r="I192" s="288">
        <f t="shared" si="43"/>
        <v>453604</v>
      </c>
      <c r="J192" s="288">
        <f t="shared" si="43"/>
        <v>677447</v>
      </c>
      <c r="K192" s="288">
        <f t="shared" si="43"/>
        <v>0</v>
      </c>
      <c r="L192" s="288">
        <f t="shared" si="43"/>
        <v>12979</v>
      </c>
      <c r="M192" s="288">
        <f t="shared" si="43"/>
        <v>17066</v>
      </c>
      <c r="N192" s="288">
        <f t="shared" si="43"/>
        <v>584569</v>
      </c>
      <c r="O192" s="322">
        <f t="shared" si="31"/>
        <v>8973691</v>
      </c>
    </row>
    <row r="193" spans="1:15" ht="15">
      <c r="A193" s="323" t="s">
        <v>292</v>
      </c>
      <c r="B193" s="396" t="s">
        <v>127</v>
      </c>
      <c r="C193" s="236">
        <f>2002555+28975+625979+12399</f>
        <v>2669908</v>
      </c>
      <c r="D193" s="234"/>
      <c r="E193" s="234"/>
      <c r="F193" s="236"/>
      <c r="G193" s="261"/>
      <c r="H193" s="261"/>
      <c r="I193" s="261"/>
      <c r="J193" s="263"/>
      <c r="K193" s="263"/>
      <c r="L193" s="263"/>
      <c r="M193" s="263"/>
      <c r="N193" s="264"/>
      <c r="O193" s="322">
        <f t="shared" si="31"/>
        <v>2669908</v>
      </c>
    </row>
    <row r="194" spans="1:15" ht="15">
      <c r="A194" s="323" t="s">
        <v>293</v>
      </c>
      <c r="B194" s="396" t="s">
        <v>294</v>
      </c>
      <c r="C194" s="236">
        <f>941823+13534+285338+13933</f>
        <v>1254628</v>
      </c>
      <c r="D194" s="234"/>
      <c r="E194" s="234"/>
      <c r="F194" s="236"/>
      <c r="G194" s="261"/>
      <c r="H194" s="261"/>
      <c r="I194" s="261"/>
      <c r="J194" s="263"/>
      <c r="K194" s="263"/>
      <c r="L194" s="263"/>
      <c r="M194" s="263"/>
      <c r="N194" s="264"/>
      <c r="O194" s="322">
        <f aca="true" t="shared" si="44" ref="O194:O240">SUM(C194:N194)</f>
        <v>1254628</v>
      </c>
    </row>
    <row r="195" spans="1:15" ht="15">
      <c r="A195" s="323" t="s">
        <v>295</v>
      </c>
      <c r="B195" s="396" t="s">
        <v>128</v>
      </c>
      <c r="C195" s="236">
        <f>1012458+12683+274586+4408+383</f>
        <v>1304518</v>
      </c>
      <c r="D195" s="234"/>
      <c r="E195" s="234"/>
      <c r="F195" s="236"/>
      <c r="G195" s="261"/>
      <c r="H195" s="261"/>
      <c r="I195" s="261"/>
      <c r="J195" s="263"/>
      <c r="K195" s="263"/>
      <c r="L195" s="263"/>
      <c r="M195" s="263"/>
      <c r="N195" s="264"/>
      <c r="O195" s="322">
        <f t="shared" si="44"/>
        <v>1304518</v>
      </c>
    </row>
    <row r="196" spans="1:15" ht="15">
      <c r="A196" s="323" t="s">
        <v>296</v>
      </c>
      <c r="B196" s="233" t="s">
        <v>129</v>
      </c>
      <c r="C196" s="236">
        <f>376982+4086+90742+4244</f>
        <v>476054</v>
      </c>
      <c r="D196" s="234"/>
      <c r="E196" s="234"/>
      <c r="F196" s="236"/>
      <c r="G196" s="261"/>
      <c r="H196" s="261"/>
      <c r="I196" s="261"/>
      <c r="J196" s="263"/>
      <c r="K196" s="263"/>
      <c r="L196" s="263"/>
      <c r="M196" s="263"/>
      <c r="N196" s="264"/>
      <c r="O196" s="322">
        <f t="shared" si="44"/>
        <v>476054</v>
      </c>
    </row>
    <row r="197" spans="1:15" ht="15">
      <c r="A197" s="323" t="s">
        <v>297</v>
      </c>
      <c r="B197" s="233" t="s">
        <v>183</v>
      </c>
      <c r="C197" s="236"/>
      <c r="D197" s="234"/>
      <c r="E197" s="234"/>
      <c r="F197" s="236"/>
      <c r="G197" s="261"/>
      <c r="H197" s="261"/>
      <c r="I197" s="262">
        <f>409631+43973</f>
        <v>453604</v>
      </c>
      <c r="J197" s="264"/>
      <c r="K197" s="264"/>
      <c r="L197" s="264"/>
      <c r="M197" s="264"/>
      <c r="N197" s="264"/>
      <c r="O197" s="322">
        <f t="shared" si="44"/>
        <v>453604</v>
      </c>
    </row>
    <row r="198" spans="1:15" ht="15">
      <c r="A198" s="323" t="s">
        <v>298</v>
      </c>
      <c r="B198" s="233" t="s">
        <v>184</v>
      </c>
      <c r="C198" s="236"/>
      <c r="D198" s="234"/>
      <c r="E198" s="234"/>
      <c r="F198" s="236"/>
      <c r="G198" s="261"/>
      <c r="H198" s="261"/>
      <c r="I198" s="262"/>
      <c r="J198" s="482">
        <f>547031+8954+120979+483</f>
        <v>677447</v>
      </c>
      <c r="K198" s="569"/>
      <c r="L198" s="569"/>
      <c r="M198" s="569"/>
      <c r="N198" s="569"/>
      <c r="O198" s="322">
        <f t="shared" si="44"/>
        <v>677447</v>
      </c>
    </row>
    <row r="199" spans="1:15" ht="15">
      <c r="A199" s="323" t="s">
        <v>299</v>
      </c>
      <c r="B199" s="233" t="s">
        <v>342</v>
      </c>
      <c r="C199" s="236"/>
      <c r="D199" s="234"/>
      <c r="E199" s="234"/>
      <c r="F199" s="236"/>
      <c r="G199" s="261"/>
      <c r="H199" s="261"/>
      <c r="I199" s="262"/>
      <c r="J199" s="569"/>
      <c r="K199" s="569"/>
      <c r="L199" s="569">
        <f>10414+2565</f>
        <v>12979</v>
      </c>
      <c r="M199" s="572">
        <v>17066</v>
      </c>
      <c r="N199" s="561">
        <f>525267+2236+57066</f>
        <v>584569</v>
      </c>
      <c r="O199" s="322">
        <f t="shared" si="44"/>
        <v>614614</v>
      </c>
    </row>
    <row r="200" spans="1:15" ht="15">
      <c r="A200" s="323" t="s">
        <v>300</v>
      </c>
      <c r="B200" s="233" t="s">
        <v>186</v>
      </c>
      <c r="C200" s="236"/>
      <c r="D200" s="234"/>
      <c r="E200" s="234"/>
      <c r="F200" s="236"/>
      <c r="G200" s="245">
        <f>939572-103221+135382</f>
        <v>971733</v>
      </c>
      <c r="H200" s="261"/>
      <c r="I200" s="262"/>
      <c r="J200" s="264"/>
      <c r="K200" s="264"/>
      <c r="L200" s="264"/>
      <c r="M200" s="264"/>
      <c r="N200" s="264"/>
      <c r="O200" s="322">
        <f t="shared" si="44"/>
        <v>971733</v>
      </c>
    </row>
    <row r="201" spans="1:15" ht="15">
      <c r="A201" s="323" t="s">
        <v>301</v>
      </c>
      <c r="B201" s="233" t="s">
        <v>919</v>
      </c>
      <c r="C201" s="236"/>
      <c r="D201" s="236"/>
      <c r="E201" s="236"/>
      <c r="F201" s="236"/>
      <c r="G201" s="533">
        <f>374352+174068+2765</f>
        <v>551185</v>
      </c>
      <c r="H201" s="262"/>
      <c r="I201" s="262"/>
      <c r="J201" s="264"/>
      <c r="K201" s="264"/>
      <c r="L201" s="264"/>
      <c r="M201" s="264"/>
      <c r="N201" s="264"/>
      <c r="O201" s="322">
        <f t="shared" si="44"/>
        <v>551185</v>
      </c>
    </row>
    <row r="202" spans="1:15" ht="15" customHeight="1">
      <c r="A202" s="321" t="s">
        <v>130</v>
      </c>
      <c r="B202" s="284" t="s">
        <v>131</v>
      </c>
      <c r="C202" s="288">
        <f>SUM(C203:C208)</f>
        <v>2564395</v>
      </c>
      <c r="D202" s="288">
        <f aca="true" t="shared" si="45" ref="D202:N202">SUM(D203:D208)</f>
        <v>0</v>
      </c>
      <c r="E202" s="288">
        <f t="shared" si="45"/>
        <v>0</v>
      </c>
      <c r="F202" s="288">
        <f t="shared" si="45"/>
        <v>0</v>
      </c>
      <c r="G202" s="285">
        <f t="shared" si="45"/>
        <v>0</v>
      </c>
      <c r="H202" s="288">
        <f t="shared" si="45"/>
        <v>0</v>
      </c>
      <c r="I202" s="288">
        <f t="shared" si="45"/>
        <v>0</v>
      </c>
      <c r="J202" s="288">
        <f t="shared" si="45"/>
        <v>191928</v>
      </c>
      <c r="K202" s="288">
        <f t="shared" si="45"/>
        <v>0</v>
      </c>
      <c r="L202" s="288">
        <f t="shared" si="45"/>
        <v>0</v>
      </c>
      <c r="M202" s="288">
        <f t="shared" si="45"/>
        <v>0</v>
      </c>
      <c r="N202" s="288">
        <f t="shared" si="45"/>
        <v>0</v>
      </c>
      <c r="O202" s="322">
        <f t="shared" si="44"/>
        <v>2756323</v>
      </c>
    </row>
    <row r="203" spans="1:15" ht="15">
      <c r="A203" s="323" t="s">
        <v>302</v>
      </c>
      <c r="B203" s="233" t="s">
        <v>17</v>
      </c>
      <c r="C203" s="236">
        <f>712870+13900+5075</f>
        <v>731845</v>
      </c>
      <c r="D203" s="234"/>
      <c r="E203" s="234"/>
      <c r="F203" s="236"/>
      <c r="G203" s="261"/>
      <c r="H203" s="261"/>
      <c r="I203" s="261"/>
      <c r="J203" s="263"/>
      <c r="K203" s="263"/>
      <c r="L203" s="263"/>
      <c r="M203" s="263"/>
      <c r="N203" s="264"/>
      <c r="O203" s="322">
        <f t="shared" si="44"/>
        <v>731845</v>
      </c>
    </row>
    <row r="204" spans="1:15" ht="15">
      <c r="A204" s="323" t="s">
        <v>303</v>
      </c>
      <c r="B204" s="233" t="s">
        <v>151</v>
      </c>
      <c r="C204" s="236">
        <f>315095+2658</f>
        <v>317753</v>
      </c>
      <c r="D204" s="234"/>
      <c r="E204" s="234"/>
      <c r="F204" s="236"/>
      <c r="G204" s="261"/>
      <c r="H204" s="261"/>
      <c r="I204" s="261"/>
      <c r="J204" s="263"/>
      <c r="K204" s="263"/>
      <c r="L204" s="263"/>
      <c r="M204" s="263"/>
      <c r="N204" s="264"/>
      <c r="O204" s="322">
        <f t="shared" si="44"/>
        <v>317753</v>
      </c>
    </row>
    <row r="205" spans="1:15" ht="15">
      <c r="A205" s="323" t="s">
        <v>304</v>
      </c>
      <c r="B205" s="233" t="s">
        <v>132</v>
      </c>
      <c r="C205" s="236">
        <f>699622+3500+144521+766</f>
        <v>848409</v>
      </c>
      <c r="D205" s="234"/>
      <c r="E205" s="234"/>
      <c r="F205" s="236"/>
      <c r="G205" s="261"/>
      <c r="H205" s="261"/>
      <c r="I205" s="261"/>
      <c r="J205" s="263"/>
      <c r="K205" s="263"/>
      <c r="L205" s="263"/>
      <c r="M205" s="263"/>
      <c r="N205" s="264"/>
      <c r="O205" s="322">
        <f t="shared" si="44"/>
        <v>848409</v>
      </c>
    </row>
    <row r="206" spans="1:15" ht="15">
      <c r="A206" s="323" t="s">
        <v>305</v>
      </c>
      <c r="B206" s="233" t="s">
        <v>133</v>
      </c>
      <c r="C206" s="236">
        <f>439584+5298+29218</f>
        <v>474100</v>
      </c>
      <c r="D206" s="234"/>
      <c r="E206" s="234"/>
      <c r="F206" s="236"/>
      <c r="G206" s="262"/>
      <c r="H206" s="261"/>
      <c r="I206" s="261"/>
      <c r="J206" s="263"/>
      <c r="K206" s="263"/>
      <c r="L206" s="263"/>
      <c r="M206" s="263"/>
      <c r="N206" s="264"/>
      <c r="O206" s="322">
        <f t="shared" si="44"/>
        <v>474100</v>
      </c>
    </row>
    <row r="207" spans="1:15" ht="15">
      <c r="A207" s="323" t="s">
        <v>306</v>
      </c>
      <c r="B207" s="233" t="s">
        <v>134</v>
      </c>
      <c r="C207" s="234">
        <f>155958+36330</f>
        <v>192288</v>
      </c>
      <c r="D207" s="234"/>
      <c r="E207" s="234"/>
      <c r="F207" s="236"/>
      <c r="G207" s="261"/>
      <c r="H207" s="261"/>
      <c r="I207" s="261"/>
      <c r="J207" s="263"/>
      <c r="K207" s="263"/>
      <c r="L207" s="263"/>
      <c r="M207" s="263"/>
      <c r="N207" s="264"/>
      <c r="O207" s="322">
        <f t="shared" si="44"/>
        <v>192288</v>
      </c>
    </row>
    <row r="208" spans="1:15" ht="15">
      <c r="A208" s="323" t="s">
        <v>307</v>
      </c>
      <c r="B208" s="233" t="s">
        <v>187</v>
      </c>
      <c r="C208" s="234"/>
      <c r="D208" s="234"/>
      <c r="E208" s="234"/>
      <c r="F208" s="236"/>
      <c r="G208" s="261"/>
      <c r="H208" s="261"/>
      <c r="I208" s="261"/>
      <c r="J208" s="482">
        <f>167092+24836</f>
        <v>191928</v>
      </c>
      <c r="K208" s="263"/>
      <c r="L208" s="263"/>
      <c r="M208" s="263"/>
      <c r="N208" s="264"/>
      <c r="O208" s="322">
        <f t="shared" si="44"/>
        <v>191928</v>
      </c>
    </row>
    <row r="209" spans="1:15" ht="15">
      <c r="A209" s="398" t="s">
        <v>188</v>
      </c>
      <c r="B209" s="284" t="s">
        <v>189</v>
      </c>
      <c r="C209" s="234">
        <f aca="true" t="shared" si="46" ref="C209:N209">SUM(C210:C211)</f>
        <v>178000</v>
      </c>
      <c r="D209" s="234">
        <f t="shared" si="46"/>
        <v>0</v>
      </c>
      <c r="E209" s="234">
        <f t="shared" si="46"/>
        <v>0</v>
      </c>
      <c r="F209" s="234">
        <f t="shared" si="46"/>
        <v>0</v>
      </c>
      <c r="G209" s="234">
        <f t="shared" si="46"/>
        <v>108131</v>
      </c>
      <c r="H209" s="234">
        <f t="shared" si="46"/>
        <v>0</v>
      </c>
      <c r="I209" s="234">
        <f t="shared" si="46"/>
        <v>0</v>
      </c>
      <c r="J209" s="234">
        <f t="shared" si="46"/>
        <v>112253</v>
      </c>
      <c r="K209" s="234">
        <f t="shared" si="46"/>
        <v>0</v>
      </c>
      <c r="L209" s="234">
        <f t="shared" si="46"/>
        <v>0</v>
      </c>
      <c r="M209" s="234">
        <f t="shared" si="46"/>
        <v>0</v>
      </c>
      <c r="N209" s="234">
        <f t="shared" si="46"/>
        <v>0</v>
      </c>
      <c r="O209" s="322">
        <f t="shared" si="44"/>
        <v>398384</v>
      </c>
    </row>
    <row r="210" spans="1:15" ht="15">
      <c r="A210" s="323" t="s">
        <v>477</v>
      </c>
      <c r="B210" s="233" t="s">
        <v>468</v>
      </c>
      <c r="C210" s="236">
        <v>40000</v>
      </c>
      <c r="D210" s="236"/>
      <c r="E210" s="236"/>
      <c r="F210" s="236"/>
      <c r="G210" s="573">
        <f>108131-900</f>
        <v>107231</v>
      </c>
      <c r="H210" s="261"/>
      <c r="I210" s="261"/>
      <c r="J210" s="264">
        <v>98091</v>
      </c>
      <c r="K210" s="264"/>
      <c r="L210" s="264"/>
      <c r="M210" s="264"/>
      <c r="N210" s="264"/>
      <c r="O210" s="322">
        <f t="shared" si="44"/>
        <v>245322</v>
      </c>
    </row>
    <row r="211" spans="1:15" ht="15">
      <c r="A211" s="323" t="s">
        <v>478</v>
      </c>
      <c r="B211" s="233" t="s">
        <v>469</v>
      </c>
      <c r="C211" s="236">
        <f>175000-37000</f>
        <v>138000</v>
      </c>
      <c r="D211" s="236"/>
      <c r="E211" s="236"/>
      <c r="F211" s="236"/>
      <c r="G211" s="573">
        <v>900</v>
      </c>
      <c r="H211" s="261"/>
      <c r="I211" s="261"/>
      <c r="J211" s="264">
        <v>14162</v>
      </c>
      <c r="K211" s="264"/>
      <c r="L211" s="264"/>
      <c r="M211" s="264"/>
      <c r="N211" s="264"/>
      <c r="O211" s="322">
        <f t="shared" si="44"/>
        <v>153062</v>
      </c>
    </row>
    <row r="212" spans="1:15" ht="29.25">
      <c r="A212" s="321" t="s">
        <v>456</v>
      </c>
      <c r="B212" s="284" t="s">
        <v>644</v>
      </c>
      <c r="C212" s="288">
        <f>191868-3680</f>
        <v>188188</v>
      </c>
      <c r="D212" s="288"/>
      <c r="E212" s="288"/>
      <c r="F212" s="288"/>
      <c r="G212" s="349"/>
      <c r="H212" s="349"/>
      <c r="I212" s="349"/>
      <c r="J212" s="350"/>
      <c r="K212" s="350"/>
      <c r="L212" s="350"/>
      <c r="M212" s="350"/>
      <c r="N212" s="350"/>
      <c r="O212" s="322">
        <f t="shared" si="44"/>
        <v>188188</v>
      </c>
    </row>
    <row r="213" spans="1:15" ht="30.75" customHeight="1" thickBot="1">
      <c r="A213" s="399" t="s">
        <v>135</v>
      </c>
      <c r="B213" s="400" t="s">
        <v>308</v>
      </c>
      <c r="C213" s="401">
        <f>SUM(C214:C236)</f>
        <v>3922600</v>
      </c>
      <c r="D213" s="401">
        <f aca="true" t="shared" si="47" ref="D213:N213">SUM(D214:D235)</f>
        <v>0</v>
      </c>
      <c r="E213" s="401">
        <f t="shared" si="47"/>
        <v>0</v>
      </c>
      <c r="F213" s="401">
        <f t="shared" si="47"/>
        <v>0</v>
      </c>
      <c r="G213" s="401">
        <f t="shared" si="47"/>
        <v>28531</v>
      </c>
      <c r="H213" s="401">
        <f t="shared" si="47"/>
        <v>0</v>
      </c>
      <c r="I213" s="401">
        <f t="shared" si="47"/>
        <v>20642</v>
      </c>
      <c r="J213" s="401">
        <f t="shared" si="47"/>
        <v>11455</v>
      </c>
      <c r="K213" s="401">
        <f t="shared" si="47"/>
        <v>27263</v>
      </c>
      <c r="L213" s="401">
        <f t="shared" si="47"/>
        <v>23593</v>
      </c>
      <c r="M213" s="401">
        <f t="shared" si="47"/>
        <v>14647</v>
      </c>
      <c r="N213" s="401">
        <f t="shared" si="47"/>
        <v>17799</v>
      </c>
      <c r="O213" s="402">
        <f aca="true" t="shared" si="48" ref="O213:O220">SUM(C213:N213)</f>
        <v>4066530</v>
      </c>
    </row>
    <row r="214" spans="1:15" ht="30.75" customHeight="1">
      <c r="A214" s="356" t="s">
        <v>472</v>
      </c>
      <c r="B214" s="303" t="s">
        <v>473</v>
      </c>
      <c r="C214" s="257">
        <f>85849-2665</f>
        <v>83184</v>
      </c>
      <c r="D214" s="257"/>
      <c r="E214" s="257"/>
      <c r="F214" s="257"/>
      <c r="G214" s="255">
        <v>2665</v>
      </c>
      <c r="H214" s="255"/>
      <c r="I214" s="255"/>
      <c r="J214" s="257"/>
      <c r="K214" s="257"/>
      <c r="L214" s="257"/>
      <c r="M214" s="257"/>
      <c r="N214" s="403"/>
      <c r="O214" s="322">
        <f t="shared" si="48"/>
        <v>85849</v>
      </c>
    </row>
    <row r="215" spans="1:15" ht="30.75" customHeight="1">
      <c r="A215" s="356" t="s">
        <v>535</v>
      </c>
      <c r="B215" s="84" t="s">
        <v>536</v>
      </c>
      <c r="C215" s="288">
        <f>47700+51947</f>
        <v>99647</v>
      </c>
      <c r="D215" s="288"/>
      <c r="E215" s="288"/>
      <c r="F215" s="288"/>
      <c r="G215" s="285"/>
      <c r="H215" s="285"/>
      <c r="I215" s="285"/>
      <c r="J215" s="288"/>
      <c r="K215" s="288"/>
      <c r="L215" s="288"/>
      <c r="M215" s="288"/>
      <c r="N215" s="343"/>
      <c r="O215" s="322">
        <f t="shared" si="48"/>
        <v>99647</v>
      </c>
    </row>
    <row r="216" spans="1:15" ht="15.75">
      <c r="A216" s="356" t="s">
        <v>645</v>
      </c>
      <c r="B216" s="362" t="s">
        <v>646</v>
      </c>
      <c r="C216" s="288">
        <v>56602</v>
      </c>
      <c r="D216" s="288"/>
      <c r="E216" s="288"/>
      <c r="F216" s="288"/>
      <c r="G216" s="285"/>
      <c r="H216" s="285"/>
      <c r="I216" s="285"/>
      <c r="J216" s="288"/>
      <c r="K216" s="288"/>
      <c r="L216" s="288"/>
      <c r="M216" s="288"/>
      <c r="N216" s="343"/>
      <c r="O216" s="322">
        <f t="shared" si="48"/>
        <v>56602</v>
      </c>
    </row>
    <row r="217" spans="1:15" ht="31.5">
      <c r="A217" s="356" t="s">
        <v>647</v>
      </c>
      <c r="B217" s="362" t="s">
        <v>648</v>
      </c>
      <c r="C217" s="316">
        <v>22903</v>
      </c>
      <c r="D217" s="316"/>
      <c r="E217" s="316"/>
      <c r="F217" s="316"/>
      <c r="G217" s="281"/>
      <c r="H217" s="281"/>
      <c r="I217" s="281"/>
      <c r="J217" s="316"/>
      <c r="K217" s="316"/>
      <c r="L217" s="316"/>
      <c r="M217" s="316"/>
      <c r="N217" s="404"/>
      <c r="O217" s="322">
        <f t="shared" si="48"/>
        <v>22903</v>
      </c>
    </row>
    <row r="218" spans="1:15" ht="31.5">
      <c r="A218" s="356" t="s">
        <v>649</v>
      </c>
      <c r="B218" s="405" t="s">
        <v>650</v>
      </c>
      <c r="C218" s="288">
        <v>27633</v>
      </c>
      <c r="D218" s="288"/>
      <c r="E218" s="288"/>
      <c r="F218" s="288"/>
      <c r="G218" s="285"/>
      <c r="H218" s="285"/>
      <c r="I218" s="285"/>
      <c r="J218" s="288"/>
      <c r="K218" s="288"/>
      <c r="L218" s="288"/>
      <c r="M218" s="288"/>
      <c r="N218" s="343"/>
      <c r="O218" s="322">
        <f t="shared" si="48"/>
        <v>27633</v>
      </c>
    </row>
    <row r="219" spans="1:15" ht="47.25">
      <c r="A219" s="356" t="s">
        <v>651</v>
      </c>
      <c r="B219" s="362" t="s">
        <v>652</v>
      </c>
      <c r="C219" s="351">
        <v>18410</v>
      </c>
      <c r="D219" s="351"/>
      <c r="E219" s="351"/>
      <c r="F219" s="351"/>
      <c r="G219" s="394"/>
      <c r="H219" s="394"/>
      <c r="I219" s="394"/>
      <c r="J219" s="351"/>
      <c r="K219" s="351"/>
      <c r="L219" s="351"/>
      <c r="M219" s="351"/>
      <c r="N219" s="351"/>
      <c r="O219" s="322">
        <f t="shared" si="48"/>
        <v>18410</v>
      </c>
    </row>
    <row r="220" spans="1:15" ht="15">
      <c r="A220" s="356" t="s">
        <v>309</v>
      </c>
      <c r="B220" s="299" t="s">
        <v>653</v>
      </c>
      <c r="C220" s="324"/>
      <c r="D220" s="234"/>
      <c r="E220" s="234"/>
      <c r="F220" s="236"/>
      <c r="G220" s="262"/>
      <c r="H220" s="262"/>
      <c r="I220" s="262"/>
      <c r="J220" s="263"/>
      <c r="K220" s="263">
        <v>27263</v>
      </c>
      <c r="L220" s="263">
        <v>23593</v>
      </c>
      <c r="M220" s="263"/>
      <c r="N220" s="264"/>
      <c r="O220" s="322">
        <f t="shared" si="48"/>
        <v>50856</v>
      </c>
    </row>
    <row r="221" spans="1:15" ht="15">
      <c r="A221" s="356" t="s">
        <v>310</v>
      </c>
      <c r="B221" s="215" t="s">
        <v>432</v>
      </c>
      <c r="C221" s="324"/>
      <c r="D221" s="234"/>
      <c r="E221" s="234"/>
      <c r="F221" s="236"/>
      <c r="G221" s="262">
        <v>25866</v>
      </c>
      <c r="H221" s="261"/>
      <c r="I221" s="262">
        <v>20642</v>
      </c>
      <c r="J221" s="263">
        <v>11455</v>
      </c>
      <c r="K221" s="263"/>
      <c r="L221" s="263"/>
      <c r="M221" s="361">
        <v>14647</v>
      </c>
      <c r="N221" s="264">
        <v>17799</v>
      </c>
      <c r="O221" s="322">
        <f t="shared" si="44"/>
        <v>90409</v>
      </c>
    </row>
    <row r="222" spans="1:15" ht="47.25">
      <c r="A222" s="356" t="s">
        <v>654</v>
      </c>
      <c r="B222" s="406" t="s">
        <v>655</v>
      </c>
      <c r="C222" s="236">
        <v>22430</v>
      </c>
      <c r="D222" s="234"/>
      <c r="E222" s="234"/>
      <c r="F222" s="236"/>
      <c r="G222" s="262"/>
      <c r="H222" s="261"/>
      <c r="I222" s="262"/>
      <c r="J222" s="263"/>
      <c r="K222" s="263"/>
      <c r="L222" s="263"/>
      <c r="M222" s="361"/>
      <c r="N222" s="264"/>
      <c r="O222" s="322">
        <f t="shared" si="44"/>
        <v>22430</v>
      </c>
    </row>
    <row r="223" spans="1:15" ht="47.25">
      <c r="A223" s="356" t="s">
        <v>656</v>
      </c>
      <c r="B223" s="362" t="s">
        <v>657</v>
      </c>
      <c r="C223" s="326">
        <v>3396</v>
      </c>
      <c r="D223" s="234"/>
      <c r="E223" s="234"/>
      <c r="F223" s="236"/>
      <c r="G223" s="262"/>
      <c r="H223" s="261"/>
      <c r="I223" s="262"/>
      <c r="J223" s="263"/>
      <c r="K223" s="263"/>
      <c r="L223" s="263"/>
      <c r="M223" s="361"/>
      <c r="N223" s="264"/>
      <c r="O223" s="322">
        <f t="shared" si="44"/>
        <v>3396</v>
      </c>
    </row>
    <row r="224" spans="1:15" ht="60">
      <c r="A224" s="356" t="s">
        <v>812</v>
      </c>
      <c r="B224" s="538" t="s">
        <v>811</v>
      </c>
      <c r="C224" s="326">
        <v>6540</v>
      </c>
      <c r="D224" s="234"/>
      <c r="E224" s="234"/>
      <c r="F224" s="236"/>
      <c r="G224" s="262"/>
      <c r="H224" s="261"/>
      <c r="I224" s="262"/>
      <c r="J224" s="263"/>
      <c r="K224" s="263"/>
      <c r="L224" s="263"/>
      <c r="M224" s="361"/>
      <c r="N224" s="264"/>
      <c r="O224" s="322">
        <f t="shared" si="44"/>
        <v>6540</v>
      </c>
    </row>
    <row r="225" spans="1:15" ht="30">
      <c r="A225" s="356" t="s">
        <v>387</v>
      </c>
      <c r="B225" s="111" t="s">
        <v>658</v>
      </c>
      <c r="C225" s="236">
        <v>5300</v>
      </c>
      <c r="D225" s="234"/>
      <c r="E225" s="234"/>
      <c r="F225" s="236"/>
      <c r="G225" s="261"/>
      <c r="H225" s="261"/>
      <c r="I225" s="261"/>
      <c r="J225" s="263"/>
      <c r="K225" s="263"/>
      <c r="L225" s="263"/>
      <c r="M225" s="263"/>
      <c r="N225" s="264"/>
      <c r="O225" s="322">
        <f t="shared" si="44"/>
        <v>5300</v>
      </c>
    </row>
    <row r="226" spans="1:15" ht="30">
      <c r="A226" s="323" t="s">
        <v>389</v>
      </c>
      <c r="B226" s="84" t="s">
        <v>659</v>
      </c>
      <c r="C226" s="236">
        <v>3353975</v>
      </c>
      <c r="D226" s="234"/>
      <c r="E226" s="234"/>
      <c r="F226" s="236"/>
      <c r="G226" s="261"/>
      <c r="H226" s="261"/>
      <c r="I226" s="261"/>
      <c r="J226" s="263"/>
      <c r="K226" s="263"/>
      <c r="L226" s="263"/>
      <c r="M226" s="263"/>
      <c r="N226" s="264"/>
      <c r="O226" s="322">
        <f t="shared" si="44"/>
        <v>3353975</v>
      </c>
    </row>
    <row r="227" spans="1:15" ht="28.5" customHeight="1">
      <c r="A227" s="356" t="s">
        <v>413</v>
      </c>
      <c r="B227" s="408" t="s">
        <v>660</v>
      </c>
      <c r="C227" s="236">
        <v>5843</v>
      </c>
      <c r="D227" s="234"/>
      <c r="E227" s="234"/>
      <c r="F227" s="236"/>
      <c r="G227" s="261"/>
      <c r="H227" s="261"/>
      <c r="I227" s="261"/>
      <c r="J227" s="263"/>
      <c r="K227" s="263"/>
      <c r="L227" s="263"/>
      <c r="M227" s="263"/>
      <c r="N227" s="264"/>
      <c r="O227" s="322">
        <f t="shared" si="44"/>
        <v>5843</v>
      </c>
    </row>
    <row r="228" spans="1:15" ht="48" customHeight="1">
      <c r="A228" s="323" t="s">
        <v>418</v>
      </c>
      <c r="B228" s="84" t="s">
        <v>661</v>
      </c>
      <c r="C228" s="236">
        <f>2188-595</f>
        <v>1593</v>
      </c>
      <c r="D228" s="234"/>
      <c r="E228" s="234"/>
      <c r="F228" s="236"/>
      <c r="G228" s="261"/>
      <c r="H228" s="261"/>
      <c r="I228" s="261"/>
      <c r="J228" s="263"/>
      <c r="K228" s="263"/>
      <c r="L228" s="263"/>
      <c r="M228" s="263"/>
      <c r="N228" s="264"/>
      <c r="O228" s="322">
        <f t="shared" si="44"/>
        <v>1593</v>
      </c>
    </row>
    <row r="229" spans="1:15" ht="60">
      <c r="A229" s="407" t="s">
        <v>482</v>
      </c>
      <c r="B229" s="84" t="s">
        <v>487</v>
      </c>
      <c r="C229" s="236">
        <f>11831+1321</f>
        <v>13152</v>
      </c>
      <c r="D229" s="234"/>
      <c r="E229" s="234"/>
      <c r="F229" s="236"/>
      <c r="G229" s="262"/>
      <c r="H229" s="261"/>
      <c r="I229" s="261"/>
      <c r="J229" s="263"/>
      <c r="K229" s="263"/>
      <c r="L229" s="263"/>
      <c r="M229" s="263"/>
      <c r="N229" s="264"/>
      <c r="O229" s="322">
        <f t="shared" si="44"/>
        <v>13152</v>
      </c>
    </row>
    <row r="230" spans="1:15" ht="45">
      <c r="A230" s="407" t="s">
        <v>483</v>
      </c>
      <c r="B230" s="84" t="s">
        <v>488</v>
      </c>
      <c r="C230" s="236">
        <v>9932</v>
      </c>
      <c r="D230" s="236"/>
      <c r="E230" s="236"/>
      <c r="F230" s="236"/>
      <c r="G230" s="261"/>
      <c r="H230" s="261"/>
      <c r="I230" s="261"/>
      <c r="J230" s="263"/>
      <c r="K230" s="263"/>
      <c r="L230" s="263"/>
      <c r="M230" s="263"/>
      <c r="N230" s="264"/>
      <c r="O230" s="322">
        <f t="shared" si="44"/>
        <v>9932</v>
      </c>
    </row>
    <row r="231" spans="1:15" ht="30">
      <c r="A231" s="407" t="s">
        <v>495</v>
      </c>
      <c r="B231" s="133" t="s">
        <v>494</v>
      </c>
      <c r="C231" s="236">
        <f>106105+24167</f>
        <v>130272</v>
      </c>
      <c r="D231" s="236"/>
      <c r="E231" s="236"/>
      <c r="F231" s="236"/>
      <c r="G231" s="261"/>
      <c r="H231" s="250"/>
      <c r="I231" s="250"/>
      <c r="J231" s="251"/>
      <c r="K231" s="251"/>
      <c r="L231" s="251"/>
      <c r="M231" s="251"/>
      <c r="N231" s="252"/>
      <c r="O231" s="322">
        <f t="shared" si="44"/>
        <v>130272</v>
      </c>
    </row>
    <row r="232" spans="1:15" ht="45" customHeight="1">
      <c r="A232" s="407" t="s">
        <v>490</v>
      </c>
      <c r="B232" s="84" t="s">
        <v>489</v>
      </c>
      <c r="C232" s="234">
        <f>6625+1035</f>
        <v>7660</v>
      </c>
      <c r="D232" s="234"/>
      <c r="E232" s="234"/>
      <c r="F232" s="234"/>
      <c r="G232" s="261"/>
      <c r="H232" s="261"/>
      <c r="I232" s="261"/>
      <c r="J232" s="263"/>
      <c r="K232" s="263"/>
      <c r="L232" s="263"/>
      <c r="M232" s="263"/>
      <c r="N232" s="371"/>
      <c r="O232" s="322">
        <f t="shared" si="44"/>
        <v>7660</v>
      </c>
    </row>
    <row r="233" spans="1:15" ht="45" customHeight="1">
      <c r="A233" s="407" t="s">
        <v>499</v>
      </c>
      <c r="B233" s="133" t="s">
        <v>521</v>
      </c>
      <c r="C233" s="234">
        <f>15600-4803</f>
        <v>10797</v>
      </c>
      <c r="D233" s="234"/>
      <c r="E233" s="234"/>
      <c r="F233" s="234"/>
      <c r="G233" s="261"/>
      <c r="H233" s="261"/>
      <c r="I233" s="261"/>
      <c r="J233" s="263"/>
      <c r="K233" s="263"/>
      <c r="L233" s="263"/>
      <c r="M233" s="263"/>
      <c r="N233" s="264"/>
      <c r="O233" s="322">
        <f t="shared" si="44"/>
        <v>10797</v>
      </c>
    </row>
    <row r="234" spans="1:15" ht="45" customHeight="1">
      <c r="A234" s="407" t="s">
        <v>526</v>
      </c>
      <c r="B234" s="84" t="s">
        <v>527</v>
      </c>
      <c r="C234" s="234">
        <f>4121+469</f>
        <v>4590</v>
      </c>
      <c r="D234" s="234"/>
      <c r="E234" s="234"/>
      <c r="F234" s="234"/>
      <c r="G234" s="261"/>
      <c r="H234" s="261"/>
      <c r="I234" s="261"/>
      <c r="J234" s="263"/>
      <c r="K234" s="263"/>
      <c r="L234" s="263"/>
      <c r="M234" s="263"/>
      <c r="N234" s="264"/>
      <c r="O234" s="322">
        <f t="shared" si="44"/>
        <v>4590</v>
      </c>
    </row>
    <row r="235" spans="1:15" ht="45" customHeight="1">
      <c r="A235" s="407" t="s">
        <v>540</v>
      </c>
      <c r="B235" s="84" t="s">
        <v>541</v>
      </c>
      <c r="C235" s="236">
        <v>25923</v>
      </c>
      <c r="D235" s="236"/>
      <c r="E235" s="236"/>
      <c r="F235" s="236"/>
      <c r="G235" s="261"/>
      <c r="H235" s="385"/>
      <c r="I235" s="385"/>
      <c r="J235" s="264"/>
      <c r="K235" s="264"/>
      <c r="L235" s="264"/>
      <c r="M235" s="264"/>
      <c r="N235" s="371"/>
      <c r="O235" s="322">
        <f t="shared" si="44"/>
        <v>25923</v>
      </c>
    </row>
    <row r="236" spans="1:15" ht="48" customHeight="1" thickBot="1">
      <c r="A236" s="407" t="s">
        <v>662</v>
      </c>
      <c r="B236" s="409" t="s">
        <v>663</v>
      </c>
      <c r="C236" s="268">
        <v>12818</v>
      </c>
      <c r="D236" s="268"/>
      <c r="E236" s="268"/>
      <c r="F236" s="268"/>
      <c r="G236" s="345"/>
      <c r="H236" s="365"/>
      <c r="I236" s="365"/>
      <c r="J236" s="346"/>
      <c r="K236" s="346"/>
      <c r="L236" s="346"/>
      <c r="M236" s="346"/>
      <c r="N236" s="346"/>
      <c r="O236" s="322">
        <f t="shared" si="44"/>
        <v>12818</v>
      </c>
    </row>
    <row r="237" spans="1:16" ht="15.75" thickBot="1">
      <c r="A237" s="340" t="s">
        <v>16</v>
      </c>
      <c r="B237" s="222" t="s">
        <v>136</v>
      </c>
      <c r="C237" s="224">
        <f>SUM(C238+C239+C240+C241)</f>
        <v>2936734</v>
      </c>
      <c r="D237" s="224">
        <f aca="true" t="shared" si="49" ref="D237:M237">SUM(D238+D239+D240+D241)</f>
        <v>58230</v>
      </c>
      <c r="E237" s="224">
        <f t="shared" si="49"/>
        <v>0</v>
      </c>
      <c r="F237" s="224">
        <f t="shared" si="49"/>
        <v>0</v>
      </c>
      <c r="G237" s="223">
        <f t="shared" si="49"/>
        <v>82370</v>
      </c>
      <c r="H237" s="224">
        <f t="shared" si="49"/>
        <v>35784</v>
      </c>
      <c r="I237" s="224">
        <f t="shared" si="49"/>
        <v>39234</v>
      </c>
      <c r="J237" s="224">
        <f t="shared" si="49"/>
        <v>623244</v>
      </c>
      <c r="K237" s="224">
        <f t="shared" si="49"/>
        <v>31823</v>
      </c>
      <c r="L237" s="224">
        <f t="shared" si="49"/>
        <v>25530</v>
      </c>
      <c r="M237" s="224">
        <f t="shared" si="49"/>
        <v>24500</v>
      </c>
      <c r="N237" s="224">
        <f>SUM(N238+N239+N240+N241)</f>
        <v>41794</v>
      </c>
      <c r="O237" s="225">
        <f t="shared" si="44"/>
        <v>3899243</v>
      </c>
      <c r="P237" s="213"/>
    </row>
    <row r="238" spans="1:15" ht="16.5" customHeight="1">
      <c r="A238" s="321" t="s">
        <v>522</v>
      </c>
      <c r="B238" s="254" t="s">
        <v>230</v>
      </c>
      <c r="C238" s="257">
        <f>171678-223</f>
        <v>171455</v>
      </c>
      <c r="D238" s="255"/>
      <c r="E238" s="255"/>
      <c r="F238" s="257"/>
      <c r="G238" s="410">
        <v>800</v>
      </c>
      <c r="H238" s="411"/>
      <c r="I238" s="410"/>
      <c r="J238" s="412">
        <v>4653</v>
      </c>
      <c r="K238" s="412"/>
      <c r="L238" s="412"/>
      <c r="M238" s="412"/>
      <c r="N238" s="413"/>
      <c r="O238" s="320">
        <f t="shared" si="44"/>
        <v>176908</v>
      </c>
    </row>
    <row r="239" spans="1:15" ht="15">
      <c r="A239" s="314" t="s">
        <v>523</v>
      </c>
      <c r="B239" s="315" t="s">
        <v>190</v>
      </c>
      <c r="C239" s="316">
        <v>25156</v>
      </c>
      <c r="D239" s="316"/>
      <c r="E239" s="316"/>
      <c r="F239" s="316"/>
      <c r="G239" s="281">
        <v>2400</v>
      </c>
      <c r="H239" s="281">
        <v>2400</v>
      </c>
      <c r="I239" s="281">
        <v>2400</v>
      </c>
      <c r="J239" s="281">
        <v>2400</v>
      </c>
      <c r="K239" s="285">
        <v>2400</v>
      </c>
      <c r="L239" s="414">
        <v>2400</v>
      </c>
      <c r="M239" s="316">
        <v>2400</v>
      </c>
      <c r="N239" s="316">
        <v>2400</v>
      </c>
      <c r="O239" s="253">
        <f t="shared" si="44"/>
        <v>44356</v>
      </c>
    </row>
    <row r="240" spans="1:15" ht="15">
      <c r="A240" s="314" t="s">
        <v>137</v>
      </c>
      <c r="B240" s="315" t="s">
        <v>138</v>
      </c>
      <c r="C240" s="360"/>
      <c r="D240" s="229"/>
      <c r="E240" s="229"/>
      <c r="F240" s="230"/>
      <c r="G240" s="282"/>
      <c r="H240" s="282"/>
      <c r="I240" s="282"/>
      <c r="J240" s="259"/>
      <c r="K240" s="259"/>
      <c r="L240" s="259"/>
      <c r="M240" s="259"/>
      <c r="N240" s="260"/>
      <c r="O240" s="322">
        <f t="shared" si="44"/>
        <v>0</v>
      </c>
    </row>
    <row r="241" spans="1:15" ht="29.25">
      <c r="A241" s="321" t="s">
        <v>139</v>
      </c>
      <c r="B241" s="284" t="s">
        <v>140</v>
      </c>
      <c r="C241" s="288">
        <f aca="true" t="shared" si="50" ref="C241:N241">SUM(C242:C254)</f>
        <v>2740123</v>
      </c>
      <c r="D241" s="288">
        <f t="shared" si="50"/>
        <v>58230</v>
      </c>
      <c r="E241" s="288">
        <f t="shared" si="50"/>
        <v>0</v>
      </c>
      <c r="F241" s="288">
        <f t="shared" si="50"/>
        <v>0</v>
      </c>
      <c r="G241" s="288">
        <f t="shared" si="50"/>
        <v>79170</v>
      </c>
      <c r="H241" s="288">
        <f t="shared" si="50"/>
        <v>33384</v>
      </c>
      <c r="I241" s="288">
        <f t="shared" si="50"/>
        <v>36834</v>
      </c>
      <c r="J241" s="288">
        <f t="shared" si="50"/>
        <v>616191</v>
      </c>
      <c r="K241" s="288">
        <f t="shared" si="50"/>
        <v>29423</v>
      </c>
      <c r="L241" s="288">
        <f t="shared" si="50"/>
        <v>23130</v>
      </c>
      <c r="M241" s="288">
        <f t="shared" si="50"/>
        <v>22100</v>
      </c>
      <c r="N241" s="288">
        <f t="shared" si="50"/>
        <v>39394</v>
      </c>
      <c r="O241" s="322">
        <f>SUM(C241:N241)</f>
        <v>3677979</v>
      </c>
    </row>
    <row r="242" spans="1:15" ht="15">
      <c r="A242" s="323" t="s">
        <v>311</v>
      </c>
      <c r="B242" s="233" t="s">
        <v>141</v>
      </c>
      <c r="C242" s="236">
        <f>984852+16400</f>
        <v>1001252</v>
      </c>
      <c r="D242" s="234">
        <v>58230</v>
      </c>
      <c r="E242" s="234"/>
      <c r="F242" s="236"/>
      <c r="G242" s="262">
        <v>950</v>
      </c>
      <c r="H242" s="262"/>
      <c r="I242" s="262">
        <v>200</v>
      </c>
      <c r="J242" s="263">
        <v>2247</v>
      </c>
      <c r="K242" s="263">
        <v>300</v>
      </c>
      <c r="L242" s="263">
        <v>670</v>
      </c>
      <c r="M242" s="361">
        <v>3800</v>
      </c>
      <c r="N242" s="264">
        <v>700</v>
      </c>
      <c r="O242" s="322">
        <f aca="true" t="shared" si="51" ref="O242:O261">SUM(C242:N242)</f>
        <v>1068349</v>
      </c>
    </row>
    <row r="243" spans="1:15" ht="15">
      <c r="A243" s="323" t="s">
        <v>312</v>
      </c>
      <c r="B243" s="233" t="s">
        <v>32</v>
      </c>
      <c r="C243" s="236">
        <f>981560-17415</f>
        <v>964145</v>
      </c>
      <c r="D243" s="234"/>
      <c r="E243" s="234"/>
      <c r="F243" s="236"/>
      <c r="G243" s="262">
        <v>78220</v>
      </c>
      <c r="H243" s="262">
        <v>33384</v>
      </c>
      <c r="I243" s="262">
        <v>36084</v>
      </c>
      <c r="J243" s="263">
        <f>55251+15</f>
        <v>55266</v>
      </c>
      <c r="K243" s="263">
        <v>29123</v>
      </c>
      <c r="L243" s="263">
        <v>22460</v>
      </c>
      <c r="M243" s="361">
        <v>18300</v>
      </c>
      <c r="N243" s="264">
        <v>38694</v>
      </c>
      <c r="O243" s="322">
        <f t="shared" si="51"/>
        <v>1275676</v>
      </c>
    </row>
    <row r="244" spans="1:15" ht="15">
      <c r="A244" s="323" t="s">
        <v>433</v>
      </c>
      <c r="B244" s="233" t="s">
        <v>434</v>
      </c>
      <c r="C244" s="236">
        <f>195595+61500</f>
        <v>257095</v>
      </c>
      <c r="D244" s="234"/>
      <c r="E244" s="234"/>
      <c r="F244" s="236"/>
      <c r="G244" s="262"/>
      <c r="H244" s="262"/>
      <c r="I244" s="262"/>
      <c r="J244" s="263"/>
      <c r="K244" s="263"/>
      <c r="L244" s="263"/>
      <c r="M244" s="263"/>
      <c r="N244" s="264"/>
      <c r="O244" s="322">
        <f t="shared" si="51"/>
        <v>257095</v>
      </c>
    </row>
    <row r="245" spans="1:15" ht="15">
      <c r="A245" s="323" t="s">
        <v>313</v>
      </c>
      <c r="B245" s="233" t="s">
        <v>192</v>
      </c>
      <c r="C245" s="324"/>
      <c r="D245" s="234"/>
      <c r="E245" s="234"/>
      <c r="F245" s="236"/>
      <c r="G245" s="262"/>
      <c r="H245" s="262"/>
      <c r="I245" s="262"/>
      <c r="J245" s="263"/>
      <c r="K245" s="263"/>
      <c r="L245" s="263"/>
      <c r="M245" s="263"/>
      <c r="N245" s="264"/>
      <c r="O245" s="322">
        <f t="shared" si="51"/>
        <v>0</v>
      </c>
    </row>
    <row r="246" spans="1:15" ht="15">
      <c r="A246" s="323" t="s">
        <v>314</v>
      </c>
      <c r="B246" s="233" t="s">
        <v>193</v>
      </c>
      <c r="C246" s="324"/>
      <c r="D246" s="234"/>
      <c r="E246" s="234"/>
      <c r="F246" s="236"/>
      <c r="G246" s="262"/>
      <c r="H246" s="262"/>
      <c r="I246" s="262"/>
      <c r="J246" s="263">
        <v>554945</v>
      </c>
      <c r="K246" s="263"/>
      <c r="L246" s="263"/>
      <c r="M246" s="263"/>
      <c r="N246" s="264"/>
      <c r="O246" s="322">
        <f t="shared" si="51"/>
        <v>554945</v>
      </c>
    </row>
    <row r="247" spans="1:15" ht="30">
      <c r="A247" s="323" t="s">
        <v>454</v>
      </c>
      <c r="B247" s="303" t="s">
        <v>455</v>
      </c>
      <c r="C247" s="234">
        <v>125350</v>
      </c>
      <c r="D247" s="234"/>
      <c r="E247" s="234"/>
      <c r="F247" s="236"/>
      <c r="G247" s="261"/>
      <c r="H247" s="261"/>
      <c r="I247" s="261"/>
      <c r="J247" s="263"/>
      <c r="K247" s="263"/>
      <c r="L247" s="263"/>
      <c r="M247" s="263"/>
      <c r="N247" s="264"/>
      <c r="O247" s="322">
        <f t="shared" si="51"/>
        <v>125350</v>
      </c>
    </row>
    <row r="248" spans="1:15" ht="16.5" customHeight="1">
      <c r="A248" s="323" t="s">
        <v>547</v>
      </c>
      <c r="B248" s="303" t="s">
        <v>548</v>
      </c>
      <c r="C248" s="236">
        <f>37365+19072</f>
        <v>56437</v>
      </c>
      <c r="D248" s="234"/>
      <c r="E248" s="234"/>
      <c r="F248" s="236"/>
      <c r="G248" s="261"/>
      <c r="H248" s="261"/>
      <c r="I248" s="261"/>
      <c r="J248" s="264"/>
      <c r="K248" s="264"/>
      <c r="L248" s="264"/>
      <c r="M248" s="264"/>
      <c r="N248" s="264"/>
      <c r="O248" s="322">
        <f t="shared" si="51"/>
        <v>56437</v>
      </c>
    </row>
    <row r="249" spans="1:15" ht="31.5">
      <c r="A249" s="323" t="s">
        <v>664</v>
      </c>
      <c r="B249" s="362" t="s">
        <v>665</v>
      </c>
      <c r="C249" s="236">
        <f>2288-13</f>
        <v>2275</v>
      </c>
      <c r="D249" s="234"/>
      <c r="E249" s="234"/>
      <c r="F249" s="236"/>
      <c r="G249" s="261"/>
      <c r="H249" s="261"/>
      <c r="I249" s="261"/>
      <c r="J249" s="264"/>
      <c r="K249" s="264"/>
      <c r="L249" s="264"/>
      <c r="M249" s="264"/>
      <c r="N249" s="264"/>
      <c r="O249" s="322">
        <f t="shared" si="51"/>
        <v>2275</v>
      </c>
    </row>
    <row r="250" spans="1:15" ht="31.5">
      <c r="A250" s="323" t="s">
        <v>666</v>
      </c>
      <c r="B250" s="405" t="s">
        <v>667</v>
      </c>
      <c r="C250" s="236">
        <v>15000</v>
      </c>
      <c r="D250" s="234"/>
      <c r="E250" s="234"/>
      <c r="F250" s="236"/>
      <c r="G250" s="261"/>
      <c r="H250" s="261"/>
      <c r="I250" s="261"/>
      <c r="J250" s="264"/>
      <c r="K250" s="264"/>
      <c r="L250" s="264"/>
      <c r="M250" s="264"/>
      <c r="N250" s="264"/>
      <c r="O250" s="322">
        <f t="shared" si="51"/>
        <v>15000</v>
      </c>
    </row>
    <row r="251" spans="1:15" ht="15">
      <c r="A251" s="323" t="s">
        <v>315</v>
      </c>
      <c r="B251" s="233" t="s">
        <v>191</v>
      </c>
      <c r="C251" s="326">
        <v>42402</v>
      </c>
      <c r="D251" s="234"/>
      <c r="E251" s="234"/>
      <c r="F251" s="236"/>
      <c r="G251" s="261"/>
      <c r="H251" s="262"/>
      <c r="I251" s="262">
        <v>550</v>
      </c>
      <c r="J251" s="264">
        <v>3733</v>
      </c>
      <c r="K251" s="264"/>
      <c r="L251" s="264"/>
      <c r="M251" s="264"/>
      <c r="N251" s="264"/>
      <c r="O251" s="322">
        <f t="shared" si="51"/>
        <v>46685</v>
      </c>
    </row>
    <row r="252" spans="1:15" ht="30">
      <c r="A252" s="323" t="s">
        <v>820</v>
      </c>
      <c r="B252" s="539" t="s">
        <v>819</v>
      </c>
      <c r="C252" s="326">
        <v>35247</v>
      </c>
      <c r="D252" s="234"/>
      <c r="E252" s="234"/>
      <c r="F252" s="236"/>
      <c r="G252" s="261"/>
      <c r="H252" s="262"/>
      <c r="I252" s="262"/>
      <c r="J252" s="264"/>
      <c r="K252" s="264"/>
      <c r="L252" s="264"/>
      <c r="M252" s="264"/>
      <c r="N252" s="264"/>
      <c r="O252" s="322">
        <f t="shared" si="51"/>
        <v>35247</v>
      </c>
    </row>
    <row r="253" spans="1:15" ht="45">
      <c r="A253" s="323" t="s">
        <v>409</v>
      </c>
      <c r="B253" s="84" t="s">
        <v>668</v>
      </c>
      <c r="C253" s="234">
        <v>35000</v>
      </c>
      <c r="D253" s="234"/>
      <c r="E253" s="234"/>
      <c r="F253" s="234"/>
      <c r="G253" s="261"/>
      <c r="H253" s="261"/>
      <c r="I253" s="261"/>
      <c r="J253" s="263"/>
      <c r="K253" s="263"/>
      <c r="L253" s="263"/>
      <c r="M253" s="263"/>
      <c r="N253" s="371"/>
      <c r="O253" s="322">
        <f t="shared" si="51"/>
        <v>35000</v>
      </c>
    </row>
    <row r="254" spans="1:15" ht="30.75" thickBot="1">
      <c r="A254" s="356" t="s">
        <v>524</v>
      </c>
      <c r="B254" s="110" t="s">
        <v>525</v>
      </c>
      <c r="C254" s="268">
        <v>205920</v>
      </c>
      <c r="D254" s="268"/>
      <c r="E254" s="268"/>
      <c r="F254" s="268"/>
      <c r="G254" s="345"/>
      <c r="H254" s="345"/>
      <c r="I254" s="345"/>
      <c r="J254" s="346"/>
      <c r="K254" s="346"/>
      <c r="L254" s="346"/>
      <c r="M254" s="346"/>
      <c r="N254" s="346"/>
      <c r="O254" s="322">
        <f t="shared" si="51"/>
        <v>205920</v>
      </c>
    </row>
    <row r="255" spans="1:15" ht="15.75" thickBot="1">
      <c r="A255" s="415"/>
      <c r="B255" s="416" t="s">
        <v>34</v>
      </c>
      <c r="C255" s="224">
        <f aca="true" t="shared" si="52" ref="C255:N255">C60+C72+C78+C104+C116+C141+C146+C179+C237</f>
        <v>52767174</v>
      </c>
      <c r="D255" s="224">
        <f t="shared" si="52"/>
        <v>3330028</v>
      </c>
      <c r="E255" s="224">
        <f t="shared" si="52"/>
        <v>1374489</v>
      </c>
      <c r="F255" s="224">
        <f t="shared" si="52"/>
        <v>347031</v>
      </c>
      <c r="G255" s="524">
        <f t="shared" si="52"/>
        <v>2241521</v>
      </c>
      <c r="H255" s="223">
        <f t="shared" si="52"/>
        <v>492899</v>
      </c>
      <c r="I255" s="223">
        <f t="shared" si="52"/>
        <v>1013800</v>
      </c>
      <c r="J255" s="224">
        <f t="shared" si="52"/>
        <v>2803034</v>
      </c>
      <c r="K255" s="224">
        <f t="shared" si="52"/>
        <v>261676</v>
      </c>
      <c r="L255" s="224">
        <f t="shared" si="52"/>
        <v>296969</v>
      </c>
      <c r="M255" s="224">
        <f t="shared" si="52"/>
        <v>337425</v>
      </c>
      <c r="N255" s="224">
        <f t="shared" si="52"/>
        <v>1010857</v>
      </c>
      <c r="O255" s="225">
        <f t="shared" si="51"/>
        <v>66276903</v>
      </c>
    </row>
    <row r="256" spans="1:15" ht="15">
      <c r="A256" s="213" t="s">
        <v>194</v>
      </c>
      <c r="B256" s="266" t="s">
        <v>410</v>
      </c>
      <c r="C256" s="306">
        <f>2143969+174482</f>
        <v>2318451</v>
      </c>
      <c r="D256" s="306"/>
      <c r="E256" s="306"/>
      <c r="F256" s="306">
        <v>7444</v>
      </c>
      <c r="G256" s="417">
        <v>4136</v>
      </c>
      <c r="H256" s="213">
        <v>8645</v>
      </c>
      <c r="I256" s="213">
        <v>10017</v>
      </c>
      <c r="J256" s="213">
        <v>40004</v>
      </c>
      <c r="K256" s="213"/>
      <c r="L256" s="213">
        <v>5692</v>
      </c>
      <c r="M256" s="213">
        <v>8241</v>
      </c>
      <c r="N256" s="213">
        <v>25752</v>
      </c>
      <c r="O256" s="306">
        <f t="shared" si="51"/>
        <v>2428382</v>
      </c>
    </row>
    <row r="257" spans="1:15" ht="15">
      <c r="A257" s="213" t="s">
        <v>669</v>
      </c>
      <c r="B257" s="266" t="s">
        <v>670</v>
      </c>
      <c r="C257" s="306"/>
      <c r="D257" s="306"/>
      <c r="E257" s="306"/>
      <c r="F257" s="306"/>
      <c r="G257" s="213"/>
      <c r="H257" s="213"/>
      <c r="I257" s="213"/>
      <c r="J257" s="213"/>
      <c r="K257" s="213"/>
      <c r="L257" s="213"/>
      <c r="M257" s="213"/>
      <c r="N257" s="213"/>
      <c r="O257" s="306">
        <f t="shared" si="51"/>
        <v>0</v>
      </c>
    </row>
    <row r="258" spans="1:15" ht="43.5">
      <c r="A258" s="213" t="s">
        <v>671</v>
      </c>
      <c r="B258" s="418" t="s">
        <v>672</v>
      </c>
      <c r="C258" s="306"/>
      <c r="D258" s="306"/>
      <c r="E258" s="306"/>
      <c r="F258" s="306"/>
      <c r="G258" s="213"/>
      <c r="H258" s="213"/>
      <c r="I258" s="213"/>
      <c r="J258" s="213"/>
      <c r="K258" s="213"/>
      <c r="L258" s="213"/>
      <c r="M258" s="213"/>
      <c r="N258" s="213"/>
      <c r="O258" s="306"/>
    </row>
    <row r="259" spans="2:15" ht="15">
      <c r="B259" s="210"/>
      <c r="C259" s="226"/>
      <c r="D259" s="226"/>
      <c r="E259" s="226"/>
      <c r="F259" s="226"/>
      <c r="O259" s="306">
        <f t="shared" si="51"/>
        <v>0</v>
      </c>
    </row>
    <row r="260" spans="1:15" ht="30">
      <c r="A260" s="210" t="s">
        <v>369</v>
      </c>
      <c r="B260" s="220" t="s">
        <v>411</v>
      </c>
      <c r="C260" s="226">
        <v>700000</v>
      </c>
      <c r="D260" s="226">
        <f>1808735-310438</f>
        <v>1498297</v>
      </c>
      <c r="E260" s="226"/>
      <c r="F260" s="226">
        <v>50842</v>
      </c>
      <c r="G260" s="210">
        <f>52744-3933</f>
        <v>48811</v>
      </c>
      <c r="H260" s="210">
        <v>8407</v>
      </c>
      <c r="J260" s="210">
        <v>111239</v>
      </c>
      <c r="N260" s="210">
        <f>3053+11134</f>
        <v>14187</v>
      </c>
      <c r="O260" s="306">
        <f t="shared" si="51"/>
        <v>2431783</v>
      </c>
    </row>
    <row r="261" spans="1:15" ht="30">
      <c r="A261" s="419" t="s">
        <v>316</v>
      </c>
      <c r="B261" s="195" t="s">
        <v>317</v>
      </c>
      <c r="C261" s="306">
        <f>C48-C255-C256-C257-C258-C260</f>
        <v>8103270</v>
      </c>
      <c r="D261" s="306">
        <f aca="true" t="shared" si="53" ref="D261:N261">D48-D255-D256-D257-D260</f>
        <v>-730436</v>
      </c>
      <c r="E261" s="306">
        <f t="shared" si="53"/>
        <v>-1045257</v>
      </c>
      <c r="F261" s="306">
        <f t="shared" si="53"/>
        <v>-101279</v>
      </c>
      <c r="G261" s="306">
        <f t="shared" si="53"/>
        <v>-1910958</v>
      </c>
      <c r="H261" s="306">
        <f t="shared" si="53"/>
        <v>-269600</v>
      </c>
      <c r="I261" s="306">
        <f t="shared" si="53"/>
        <v>-679521</v>
      </c>
      <c r="J261" s="306">
        <f t="shared" si="53"/>
        <v>-1819895</v>
      </c>
      <c r="K261" s="306">
        <f t="shared" si="53"/>
        <v>-163616</v>
      </c>
      <c r="L261" s="306">
        <f t="shared" si="53"/>
        <v>-213264</v>
      </c>
      <c r="M261" s="306">
        <f t="shared" si="53"/>
        <v>-265305</v>
      </c>
      <c r="N261" s="306">
        <f t="shared" si="53"/>
        <v>-904139</v>
      </c>
      <c r="O261" s="306">
        <f t="shared" si="51"/>
        <v>0</v>
      </c>
    </row>
    <row r="262" spans="2:15" ht="15">
      <c r="B262" s="420"/>
      <c r="C262" s="306"/>
      <c r="D262" s="306"/>
      <c r="E262" s="306"/>
      <c r="F262" s="306"/>
      <c r="G262" s="421"/>
      <c r="H262" s="422"/>
      <c r="I262" s="421"/>
      <c r="J262" s="422"/>
      <c r="K262" s="421"/>
      <c r="L262" s="421"/>
      <c r="M262" s="421"/>
      <c r="N262" s="421"/>
      <c r="O262" s="421"/>
    </row>
    <row r="263" spans="2:15" ht="15">
      <c r="B263" s="220" t="s">
        <v>365</v>
      </c>
      <c r="D263" s="212" t="s">
        <v>36</v>
      </c>
      <c r="E263" s="226"/>
      <c r="O263" s="422">
        <f>O261-O32</f>
        <v>0</v>
      </c>
    </row>
    <row r="264" spans="2:15" ht="15">
      <c r="B264" s="220"/>
      <c r="O264" s="422"/>
    </row>
    <row r="265" ht="15">
      <c r="B265" s="423"/>
    </row>
    <row r="266" spans="1:6" ht="44.25" customHeight="1" thickBot="1">
      <c r="A266" s="586" t="s">
        <v>673</v>
      </c>
      <c r="B266" s="586"/>
      <c r="C266" s="586"/>
      <c r="D266" s="586"/>
      <c r="E266" s="226"/>
      <c r="F266" s="226"/>
    </row>
    <row r="267" spans="1:15" ht="90.75" thickBot="1">
      <c r="A267" s="216" t="s">
        <v>23</v>
      </c>
      <c r="B267" s="217" t="s">
        <v>162</v>
      </c>
      <c r="C267" s="574" t="s">
        <v>565</v>
      </c>
      <c r="D267" s="73" t="s">
        <v>566</v>
      </c>
      <c r="E267" s="218" t="s">
        <v>567</v>
      </c>
      <c r="F267" s="218" t="s">
        <v>568</v>
      </c>
      <c r="G267" s="521" t="s">
        <v>569</v>
      </c>
      <c r="H267" s="191" t="s">
        <v>570</v>
      </c>
      <c r="I267" s="191" t="s">
        <v>571</v>
      </c>
      <c r="J267" s="191" t="s">
        <v>572</v>
      </c>
      <c r="K267" s="191" t="s">
        <v>573</v>
      </c>
      <c r="L267" s="521" t="s">
        <v>574</v>
      </c>
      <c r="M267" s="191" t="s">
        <v>575</v>
      </c>
      <c r="N267" s="192" t="s">
        <v>576</v>
      </c>
      <c r="O267" s="193" t="s">
        <v>577</v>
      </c>
    </row>
    <row r="268" spans="1:15" ht="15">
      <c r="A268" s="424">
        <v>1100</v>
      </c>
      <c r="B268" s="272" t="s">
        <v>216</v>
      </c>
      <c r="C268" s="550">
        <f>11066546+51382+1769220+856</f>
        <v>12888004</v>
      </c>
      <c r="D268" s="425">
        <v>919050</v>
      </c>
      <c r="E268" s="425">
        <f>668347-7869</f>
        <v>660478</v>
      </c>
      <c r="F268" s="426">
        <f>69231-238</f>
        <v>68993</v>
      </c>
      <c r="G268" s="427">
        <v>1243833</v>
      </c>
      <c r="H268" s="428">
        <v>155545</v>
      </c>
      <c r="I268" s="425">
        <v>425492</v>
      </c>
      <c r="J268" s="535">
        <f>1297901+7951+129334+483</f>
        <v>1435669</v>
      </c>
      <c r="K268" s="425">
        <v>92325</v>
      </c>
      <c r="L268" s="550">
        <f>127712+6031</f>
        <v>133743</v>
      </c>
      <c r="M268" s="429">
        <v>136427</v>
      </c>
      <c r="N268" s="425">
        <v>541278</v>
      </c>
      <c r="O268" s="368">
        <f aca="true" t="shared" si="54" ref="O268:O288">SUM(C268:N268)</f>
        <v>18700837</v>
      </c>
    </row>
    <row r="269" spans="1:15" ht="45">
      <c r="A269" s="283">
        <v>1200</v>
      </c>
      <c r="B269" s="233" t="s">
        <v>318</v>
      </c>
      <c r="C269" s="520">
        <f>3329277+12378+434101+43</f>
        <v>3775799</v>
      </c>
      <c r="D269" s="234">
        <v>216803</v>
      </c>
      <c r="E269" s="234">
        <f>185666+4820</f>
        <v>190486</v>
      </c>
      <c r="F269" s="291">
        <f>20896+238</f>
        <v>21134</v>
      </c>
      <c r="G269" s="430">
        <v>367189</v>
      </c>
      <c r="H269" s="242">
        <v>47105</v>
      </c>
      <c r="I269" s="234">
        <v>127021</v>
      </c>
      <c r="J269" s="470">
        <f>396981+2199+31156-483</f>
        <v>429853</v>
      </c>
      <c r="K269" s="234">
        <v>28235</v>
      </c>
      <c r="L269" s="520">
        <f>39988+549</f>
        <v>40537</v>
      </c>
      <c r="M269" s="289">
        <v>40973</v>
      </c>
      <c r="N269" s="234">
        <v>164173</v>
      </c>
      <c r="O269" s="322">
        <f>SUM(C269:N269)</f>
        <v>5449308</v>
      </c>
    </row>
    <row r="270" spans="1:15" ht="15">
      <c r="A270" s="283">
        <v>2000</v>
      </c>
      <c r="B270" s="233" t="s">
        <v>195</v>
      </c>
      <c r="C270" s="234">
        <f>SUM(C271:C276)</f>
        <v>6183992</v>
      </c>
      <c r="D270" s="234">
        <f>SUM(D271:D276)</f>
        <v>1670119</v>
      </c>
      <c r="E270" s="234">
        <f>SUM(E271:E276)</f>
        <v>498931</v>
      </c>
      <c r="F270" s="291">
        <f>F272+F273+F274+F275</f>
        <v>255007</v>
      </c>
      <c r="G270" s="234">
        <f aca="true" t="shared" si="55" ref="G270:N270">SUM(G271:G276)</f>
        <v>532017</v>
      </c>
      <c r="H270" s="234">
        <f t="shared" si="55"/>
        <v>232935</v>
      </c>
      <c r="I270" s="234">
        <f t="shared" si="55"/>
        <v>390061</v>
      </c>
      <c r="J270" s="234">
        <f t="shared" si="55"/>
        <v>797244</v>
      </c>
      <c r="K270" s="234">
        <f t="shared" si="55"/>
        <v>87344</v>
      </c>
      <c r="L270" s="520">
        <f t="shared" si="55"/>
        <v>73344</v>
      </c>
      <c r="M270" s="289">
        <f t="shared" si="55"/>
        <v>116055</v>
      </c>
      <c r="N270" s="234">
        <f t="shared" si="55"/>
        <v>192351</v>
      </c>
      <c r="O270" s="322">
        <f>SUM(C270:N270)</f>
        <v>11029400</v>
      </c>
    </row>
    <row r="271" spans="1:15" ht="30">
      <c r="A271" s="283">
        <v>2100</v>
      </c>
      <c r="B271" s="233" t="s">
        <v>390</v>
      </c>
      <c r="C271" s="234">
        <f>164466+5856</f>
        <v>170322</v>
      </c>
      <c r="D271" s="234">
        <f>1000+2000</f>
        <v>3000</v>
      </c>
      <c r="E271" s="234">
        <v>2394</v>
      </c>
      <c r="F271" s="291"/>
      <c r="G271" s="430">
        <v>650</v>
      </c>
      <c r="H271" s="234">
        <v>200</v>
      </c>
      <c r="I271" s="234">
        <v>1162</v>
      </c>
      <c r="J271" s="234">
        <v>683</v>
      </c>
      <c r="K271" s="234"/>
      <c r="L271" s="520">
        <v>95</v>
      </c>
      <c r="M271" s="431">
        <v>700</v>
      </c>
      <c r="N271" s="234">
        <v>286</v>
      </c>
      <c r="O271" s="322">
        <f t="shared" si="54"/>
        <v>179492</v>
      </c>
    </row>
    <row r="272" spans="1:15" ht="15">
      <c r="A272" s="283">
        <v>2200</v>
      </c>
      <c r="B272" s="233" t="s">
        <v>197</v>
      </c>
      <c r="C272" s="234">
        <f>5200744-649203-21819-4778</f>
        <v>4524944</v>
      </c>
      <c r="D272" s="234">
        <f>1107391+72639</f>
        <v>1180030</v>
      </c>
      <c r="E272" s="234">
        <f>423662-49087</f>
        <v>374575</v>
      </c>
      <c r="F272" s="291">
        <f>233225+1162</f>
        <v>234387</v>
      </c>
      <c r="G272" s="430">
        <v>288833</v>
      </c>
      <c r="H272" s="234">
        <v>154165</v>
      </c>
      <c r="I272" s="234">
        <v>262097</v>
      </c>
      <c r="J272" s="235">
        <v>468124</v>
      </c>
      <c r="K272" s="234">
        <v>54439</v>
      </c>
      <c r="L272" s="520">
        <f>41524+4725</f>
        <v>46249</v>
      </c>
      <c r="M272" s="431">
        <v>84193</v>
      </c>
      <c r="N272" s="234">
        <f>77964+630</f>
        <v>78594</v>
      </c>
      <c r="O272" s="322">
        <f t="shared" si="54"/>
        <v>7750630</v>
      </c>
    </row>
    <row r="273" spans="1:15" ht="30">
      <c r="A273" s="283">
        <v>2300</v>
      </c>
      <c r="B273" s="233" t="s">
        <v>198</v>
      </c>
      <c r="C273" s="520">
        <f>1107131-3000+169011+12766</f>
        <v>1285908</v>
      </c>
      <c r="D273" s="234">
        <f>209378+817</f>
        <v>210195</v>
      </c>
      <c r="E273" s="234">
        <f>130907-15068</f>
        <v>115839</v>
      </c>
      <c r="F273" s="291">
        <f>13038+587</f>
        <v>13625</v>
      </c>
      <c r="G273" s="430">
        <v>239779</v>
      </c>
      <c r="H273" s="234">
        <v>64310</v>
      </c>
      <c r="I273" s="234">
        <v>116587</v>
      </c>
      <c r="J273" s="235">
        <v>316235</v>
      </c>
      <c r="K273" s="234">
        <v>30745</v>
      </c>
      <c r="L273" s="520">
        <f>24590+640</f>
        <v>25230</v>
      </c>
      <c r="M273" s="431">
        <v>29462</v>
      </c>
      <c r="N273" s="234">
        <f>97280+4324</f>
        <v>101604</v>
      </c>
      <c r="O273" s="322">
        <f>SUM(C273:N273)</f>
        <v>2549519</v>
      </c>
    </row>
    <row r="274" spans="1:15" ht="15">
      <c r="A274" s="283">
        <v>2400</v>
      </c>
      <c r="B274" s="233" t="s">
        <v>199</v>
      </c>
      <c r="C274" s="234">
        <f>5320-100</f>
        <v>5220</v>
      </c>
      <c r="D274" s="234"/>
      <c r="E274" s="234"/>
      <c r="F274" s="291">
        <v>0</v>
      </c>
      <c r="G274" s="430">
        <v>2155</v>
      </c>
      <c r="H274" s="234">
        <v>900</v>
      </c>
      <c r="I274" s="234">
        <v>500</v>
      </c>
      <c r="J274" s="234">
        <v>1500</v>
      </c>
      <c r="K274" s="234">
        <v>1080</v>
      </c>
      <c r="L274" s="520">
        <v>500</v>
      </c>
      <c r="M274" s="289">
        <v>1000</v>
      </c>
      <c r="N274" s="234">
        <v>2010</v>
      </c>
      <c r="O274" s="322">
        <f t="shared" si="54"/>
        <v>14865</v>
      </c>
    </row>
    <row r="275" spans="1:15" ht="15">
      <c r="A275" s="283">
        <v>2500</v>
      </c>
      <c r="B275" s="233" t="s">
        <v>200</v>
      </c>
      <c r="C275" s="234">
        <f>33014+8584</f>
        <v>41598</v>
      </c>
      <c r="D275" s="234">
        <v>276894</v>
      </c>
      <c r="E275" s="234">
        <f>4000+2123</f>
        <v>6123</v>
      </c>
      <c r="F275" s="291">
        <v>6995</v>
      </c>
      <c r="G275" s="430">
        <v>600</v>
      </c>
      <c r="H275" s="234">
        <v>13360</v>
      </c>
      <c r="I275" s="234">
        <v>9715</v>
      </c>
      <c r="J275" s="234">
        <v>10702</v>
      </c>
      <c r="K275" s="234">
        <v>1080</v>
      </c>
      <c r="L275" s="520">
        <v>1270</v>
      </c>
      <c r="M275" s="289">
        <v>700</v>
      </c>
      <c r="N275" s="234">
        <f>7857+2000</f>
        <v>9857</v>
      </c>
      <c r="O275" s="322">
        <f t="shared" si="54"/>
        <v>378894</v>
      </c>
    </row>
    <row r="276" spans="1:15" ht="45">
      <c r="A276" s="283">
        <v>2800</v>
      </c>
      <c r="B276" s="233" t="s">
        <v>319</v>
      </c>
      <c r="C276" s="234">
        <f>131000+25000</f>
        <v>156000</v>
      </c>
      <c r="D276" s="234"/>
      <c r="E276" s="234"/>
      <c r="F276" s="234"/>
      <c r="G276" s="430"/>
      <c r="H276" s="234"/>
      <c r="I276" s="234"/>
      <c r="J276" s="234"/>
      <c r="K276" s="234"/>
      <c r="L276" s="520"/>
      <c r="M276" s="289"/>
      <c r="N276" s="234"/>
      <c r="O276" s="322">
        <f t="shared" si="54"/>
        <v>156000</v>
      </c>
    </row>
    <row r="277" spans="1:15" ht="30">
      <c r="A277" s="283">
        <v>3200</v>
      </c>
      <c r="B277" s="233" t="s">
        <v>320</v>
      </c>
      <c r="C277" s="520">
        <f>1382420+3000+88112-5273</f>
        <v>1468259</v>
      </c>
      <c r="D277" s="234"/>
      <c r="E277" s="234"/>
      <c r="F277" s="234"/>
      <c r="G277" s="430"/>
      <c r="H277" s="234"/>
      <c r="I277" s="234"/>
      <c r="J277" s="234"/>
      <c r="K277" s="234"/>
      <c r="L277" s="520"/>
      <c r="M277" s="289"/>
      <c r="N277" s="234"/>
      <c r="O277" s="322">
        <f t="shared" si="54"/>
        <v>1468259</v>
      </c>
    </row>
    <row r="278" spans="1:15" ht="15">
      <c r="A278" s="283">
        <v>4300</v>
      </c>
      <c r="B278" s="233" t="s">
        <v>201</v>
      </c>
      <c r="C278" s="520">
        <v>35303</v>
      </c>
      <c r="D278" s="234"/>
      <c r="E278" s="234"/>
      <c r="F278" s="234">
        <v>102</v>
      </c>
      <c r="G278" s="430">
        <v>550</v>
      </c>
      <c r="H278" s="234">
        <v>0</v>
      </c>
      <c r="I278" s="234"/>
      <c r="J278" s="234"/>
      <c r="K278" s="234"/>
      <c r="L278" s="520"/>
      <c r="M278" s="289">
        <v>170</v>
      </c>
      <c r="N278" s="234"/>
      <c r="O278" s="322">
        <f t="shared" si="54"/>
        <v>36125</v>
      </c>
    </row>
    <row r="279" spans="1:15" ht="15">
      <c r="A279" s="283">
        <v>5100</v>
      </c>
      <c r="B279" s="233" t="s">
        <v>154</v>
      </c>
      <c r="C279" s="520">
        <f>7910-410</f>
        <v>7500</v>
      </c>
      <c r="D279" s="234"/>
      <c r="E279" s="234">
        <v>243</v>
      </c>
      <c r="F279" s="234"/>
      <c r="G279" s="430">
        <v>756</v>
      </c>
      <c r="H279" s="234">
        <v>0</v>
      </c>
      <c r="I279" s="234"/>
      <c r="J279" s="234"/>
      <c r="K279" s="234"/>
      <c r="L279" s="520"/>
      <c r="M279" s="289"/>
      <c r="N279" s="234"/>
      <c r="O279" s="322">
        <f t="shared" si="54"/>
        <v>8499</v>
      </c>
    </row>
    <row r="280" spans="1:15" ht="15">
      <c r="A280" s="283">
        <v>5200</v>
      </c>
      <c r="B280" s="233" t="s">
        <v>202</v>
      </c>
      <c r="C280" s="520">
        <f>28708590-63760-2315889+13427</f>
        <v>26342368</v>
      </c>
      <c r="D280" s="234">
        <f>305450+218606</f>
        <v>524056</v>
      </c>
      <c r="E280" s="234">
        <f>26237-1886</f>
        <v>24351</v>
      </c>
      <c r="F280" s="291">
        <f>1694+101</f>
        <v>1795</v>
      </c>
      <c r="G280" s="430">
        <v>16556</v>
      </c>
      <c r="H280" s="234">
        <v>12211</v>
      </c>
      <c r="I280" s="234">
        <v>16794</v>
      </c>
      <c r="J280" s="234">
        <v>75940</v>
      </c>
      <c r="K280" s="234">
        <v>16381</v>
      </c>
      <c r="L280" s="520">
        <f>20164+3921</f>
        <v>24085</v>
      </c>
      <c r="M280" s="289">
        <v>20400</v>
      </c>
      <c r="N280" s="234">
        <f>58616+1345</f>
        <v>59961</v>
      </c>
      <c r="O280" s="322">
        <f t="shared" si="54"/>
        <v>27134898</v>
      </c>
    </row>
    <row r="281" spans="1:15" ht="15">
      <c r="A281" s="283">
        <v>6200</v>
      </c>
      <c r="B281" s="233" t="s">
        <v>203</v>
      </c>
      <c r="C281" s="234">
        <f>444838-30038</f>
        <v>414800</v>
      </c>
      <c r="D281" s="234"/>
      <c r="E281" s="234"/>
      <c r="F281" s="234"/>
      <c r="G281" s="430">
        <v>48492</v>
      </c>
      <c r="H281" s="234">
        <v>21698</v>
      </c>
      <c r="I281" s="234">
        <v>25000</v>
      </c>
      <c r="J281" s="234">
        <v>26306</v>
      </c>
      <c r="K281" s="234">
        <v>29992</v>
      </c>
      <c r="L281" s="234">
        <v>13660</v>
      </c>
      <c r="M281" s="289">
        <v>19700</v>
      </c>
      <c r="N281" s="234">
        <v>24660</v>
      </c>
      <c r="O281" s="322">
        <f t="shared" si="54"/>
        <v>624308</v>
      </c>
    </row>
    <row r="282" spans="1:15" ht="15">
      <c r="A282" s="283">
        <v>6300</v>
      </c>
      <c r="B282" s="233" t="s">
        <v>204</v>
      </c>
      <c r="C282" s="234">
        <f>242000-5000</f>
        <v>237000</v>
      </c>
      <c r="D282" s="234"/>
      <c r="E282" s="234"/>
      <c r="F282" s="234"/>
      <c r="G282" s="430">
        <v>11700</v>
      </c>
      <c r="H282" s="234">
        <v>5630</v>
      </c>
      <c r="I282" s="234">
        <v>3000</v>
      </c>
      <c r="J282" s="234">
        <v>12220</v>
      </c>
      <c r="K282" s="234">
        <v>201</v>
      </c>
      <c r="L282" s="234"/>
      <c r="M282" s="289"/>
      <c r="N282" s="234">
        <f>3240+400</f>
        <v>3640</v>
      </c>
      <c r="O282" s="322">
        <f t="shared" si="54"/>
        <v>273391</v>
      </c>
    </row>
    <row r="283" spans="1:15" ht="30">
      <c r="A283" s="283">
        <v>6400</v>
      </c>
      <c r="B283" s="233" t="s">
        <v>321</v>
      </c>
      <c r="C283" s="234">
        <f>566868+60315</f>
        <v>627183</v>
      </c>
      <c r="D283" s="234"/>
      <c r="E283" s="234"/>
      <c r="F283" s="234"/>
      <c r="G283" s="430">
        <v>17345</v>
      </c>
      <c r="H283" s="234">
        <v>7506</v>
      </c>
      <c r="I283" s="234">
        <v>10031</v>
      </c>
      <c r="J283" s="234">
        <v>20141</v>
      </c>
      <c r="K283" s="234">
        <v>1330</v>
      </c>
      <c r="L283" s="234">
        <v>11200</v>
      </c>
      <c r="M283" s="289">
        <v>700</v>
      </c>
      <c r="N283" s="234">
        <f>13194-400</f>
        <v>12794</v>
      </c>
      <c r="O283" s="322">
        <f t="shared" si="54"/>
        <v>708230</v>
      </c>
    </row>
    <row r="284" spans="1:15" ht="30">
      <c r="A284" s="283">
        <v>6500</v>
      </c>
      <c r="B284" s="233" t="s">
        <v>391</v>
      </c>
      <c r="C284" s="234">
        <v>5500</v>
      </c>
      <c r="D284" s="234"/>
      <c r="E284" s="234"/>
      <c r="F284" s="234"/>
      <c r="G284" s="430"/>
      <c r="H284" s="234"/>
      <c r="I284" s="234"/>
      <c r="J284" s="234"/>
      <c r="K284" s="234"/>
      <c r="L284" s="234"/>
      <c r="M284" s="289"/>
      <c r="N284" s="234"/>
      <c r="O284" s="322"/>
    </row>
    <row r="285" spans="1:15" ht="15">
      <c r="A285" s="283">
        <v>7200</v>
      </c>
      <c r="B285" s="233" t="s">
        <v>322</v>
      </c>
      <c r="C285" s="234">
        <f>739600+37088</f>
        <v>776688</v>
      </c>
      <c r="D285" s="234"/>
      <c r="E285" s="234"/>
      <c r="F285" s="234"/>
      <c r="G285" s="430">
        <v>3083</v>
      </c>
      <c r="H285" s="234">
        <v>10269</v>
      </c>
      <c r="I285" s="234">
        <v>16401</v>
      </c>
      <c r="J285" s="234">
        <v>5661</v>
      </c>
      <c r="K285" s="234">
        <v>5868</v>
      </c>
      <c r="L285" s="234">
        <v>400</v>
      </c>
      <c r="M285" s="289">
        <v>3000</v>
      </c>
      <c r="N285" s="234">
        <v>12000</v>
      </c>
      <c r="O285" s="322">
        <f>SUM(C285:N285)</f>
        <v>833370</v>
      </c>
    </row>
    <row r="286" spans="1:15" ht="15">
      <c r="A286" s="283">
        <v>7700</v>
      </c>
      <c r="B286" s="233" t="s">
        <v>917</v>
      </c>
      <c r="C286" s="234">
        <v>4778</v>
      </c>
      <c r="D286" s="234"/>
      <c r="E286" s="234"/>
      <c r="F286" s="234"/>
      <c r="G286" s="430"/>
      <c r="H286" s="234"/>
      <c r="I286" s="234"/>
      <c r="J286" s="234"/>
      <c r="K286" s="234"/>
      <c r="L286" s="234"/>
      <c r="M286" s="289"/>
      <c r="N286" s="239"/>
      <c r="O286" s="322">
        <f>SUM(C286:N286)</f>
        <v>4778</v>
      </c>
    </row>
    <row r="287" spans="1:15" ht="15">
      <c r="A287" s="283">
        <v>8100</v>
      </c>
      <c r="B287" s="263" t="s">
        <v>435</v>
      </c>
      <c r="C287" s="234"/>
      <c r="D287" s="234"/>
      <c r="E287" s="234"/>
      <c r="F287" s="234"/>
      <c r="G287" s="430"/>
      <c r="H287" s="234"/>
      <c r="I287" s="234"/>
      <c r="J287" s="234"/>
      <c r="K287" s="234"/>
      <c r="L287" s="234"/>
      <c r="M287" s="234"/>
      <c r="N287" s="239"/>
      <c r="O287" s="322">
        <f t="shared" si="54"/>
        <v>0</v>
      </c>
    </row>
    <row r="288" spans="1:15" ht="15.75" thickBot="1">
      <c r="A288" s="265">
        <v>9000</v>
      </c>
      <c r="B288" s="432" t="s">
        <v>674</v>
      </c>
      <c r="C288" s="276"/>
      <c r="D288" s="276"/>
      <c r="E288" s="276"/>
      <c r="F288" s="276"/>
      <c r="G288" s="433"/>
      <c r="H288" s="276"/>
      <c r="I288" s="276"/>
      <c r="J288" s="276"/>
      <c r="K288" s="276"/>
      <c r="L288" s="276"/>
      <c r="M288" s="276"/>
      <c r="N288" s="278"/>
      <c r="O288" s="322">
        <f t="shared" si="54"/>
        <v>0</v>
      </c>
    </row>
    <row r="289" spans="1:15" ht="15.75" thickBot="1">
      <c r="A289" s="415"/>
      <c r="B289" s="434" t="s">
        <v>205</v>
      </c>
      <c r="C289" s="435">
        <f aca="true" t="shared" si="56" ref="C289:N289">SUM(C268:C270,C277:C288)</f>
        <v>52767174</v>
      </c>
      <c r="D289" s="435">
        <f t="shared" si="56"/>
        <v>3330028</v>
      </c>
      <c r="E289" s="435">
        <f t="shared" si="56"/>
        <v>1374489</v>
      </c>
      <c r="F289" s="435">
        <f t="shared" si="56"/>
        <v>347031</v>
      </c>
      <c r="G289" s="523">
        <f t="shared" si="56"/>
        <v>2241521</v>
      </c>
      <c r="H289" s="435">
        <f t="shared" si="56"/>
        <v>492899</v>
      </c>
      <c r="I289" s="435">
        <f t="shared" si="56"/>
        <v>1013800</v>
      </c>
      <c r="J289" s="435">
        <f t="shared" si="56"/>
        <v>2803034</v>
      </c>
      <c r="K289" s="435">
        <f t="shared" si="56"/>
        <v>261676</v>
      </c>
      <c r="L289" s="435">
        <f t="shared" si="56"/>
        <v>296969</v>
      </c>
      <c r="M289" s="435">
        <f>SUM(M268:M270,M277:M288)</f>
        <v>337425</v>
      </c>
      <c r="N289" s="435">
        <f t="shared" si="56"/>
        <v>1010857</v>
      </c>
      <c r="O289" s="225">
        <f>SUM(C289:N289)</f>
        <v>66276903</v>
      </c>
    </row>
    <row r="290" spans="2:6" ht="15">
      <c r="B290" s="436"/>
      <c r="D290" s="226"/>
      <c r="E290" s="226"/>
      <c r="F290" s="226"/>
    </row>
    <row r="291" spans="2:15" ht="15">
      <c r="B291" s="436"/>
      <c r="D291" s="226"/>
      <c r="E291" s="226"/>
      <c r="F291" s="226"/>
      <c r="O291" s="306"/>
    </row>
    <row r="292" spans="2:6" ht="15">
      <c r="B292" s="220" t="s">
        <v>365</v>
      </c>
      <c r="D292" s="226"/>
      <c r="E292" s="226" t="s">
        <v>36</v>
      </c>
      <c r="F292" s="226"/>
    </row>
    <row r="297" ht="15">
      <c r="B297" s="220"/>
    </row>
  </sheetData>
  <sheetProtection/>
  <mergeCells count="3">
    <mergeCell ref="A5:D5"/>
    <mergeCell ref="A58:D58"/>
    <mergeCell ref="A266:D266"/>
  </mergeCells>
  <printOptions/>
  <pageMargins left="0.4330708661417323" right="0.35433070866141736" top="0.7874015748031497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I89" sqref="I89"/>
    </sheetView>
  </sheetViews>
  <sheetFormatPr defaultColWidth="9.140625" defaultRowHeight="12.75"/>
  <cols>
    <col min="1" max="1" width="41.57421875" style="30" customWidth="1"/>
    <col min="2" max="2" width="9.140625" style="30" customWidth="1"/>
    <col min="3" max="3" width="11.00390625" style="30" bestFit="1" customWidth="1"/>
    <col min="4" max="4" width="13.28125" style="55" customWidth="1"/>
    <col min="5" max="5" width="10.28125" style="30" customWidth="1"/>
    <col min="6" max="6" width="12.8515625" style="30" customWidth="1"/>
    <col min="7" max="7" width="10.57421875" style="30" customWidth="1"/>
    <col min="8" max="8" width="9.140625" style="30" customWidth="1"/>
    <col min="9" max="9" width="10.00390625" style="30" bestFit="1" customWidth="1"/>
    <col min="10" max="16384" width="9.140625" style="30" customWidth="1"/>
  </cols>
  <sheetData>
    <row r="1" ht="12.75">
      <c r="D1" s="55" t="s">
        <v>37</v>
      </c>
    </row>
    <row r="2" spans="1:6" ht="18.75">
      <c r="A2" s="588" t="s">
        <v>675</v>
      </c>
      <c r="B2" s="588"/>
      <c r="C2" s="588"/>
      <c r="D2" s="588"/>
      <c r="E2" s="588"/>
      <c r="F2" s="588"/>
    </row>
    <row r="3" spans="1:7" ht="90">
      <c r="A3" s="64" t="s">
        <v>22</v>
      </c>
      <c r="B3" s="65" t="s">
        <v>23</v>
      </c>
      <c r="C3" s="26" t="s">
        <v>676</v>
      </c>
      <c r="D3" s="12" t="s">
        <v>677</v>
      </c>
      <c r="E3" s="18" t="s">
        <v>678</v>
      </c>
      <c r="F3" s="18" t="s">
        <v>679</v>
      </c>
      <c r="G3" s="66"/>
    </row>
    <row r="4" spans="1:7" ht="30">
      <c r="A4" s="18" t="s">
        <v>165</v>
      </c>
      <c r="B4" s="14" t="s">
        <v>41</v>
      </c>
      <c r="C4" s="21">
        <v>294688</v>
      </c>
      <c r="D4" s="12"/>
      <c r="E4" s="12"/>
      <c r="F4" s="12"/>
      <c r="G4" s="13"/>
    </row>
    <row r="5" spans="1:7" ht="15">
      <c r="A5" s="18" t="s">
        <v>44</v>
      </c>
      <c r="B5" s="14" t="s">
        <v>26</v>
      </c>
      <c r="C5" s="21"/>
      <c r="D5" s="12"/>
      <c r="E5" s="12"/>
      <c r="F5" s="12"/>
      <c r="G5" s="13"/>
    </row>
    <row r="6" spans="1:7" ht="15">
      <c r="A6" s="18" t="s">
        <v>888</v>
      </c>
      <c r="B6" s="14" t="s">
        <v>236</v>
      </c>
      <c r="C6" s="21">
        <v>40000</v>
      </c>
      <c r="D6" s="12"/>
      <c r="E6" s="12"/>
      <c r="F6" s="12"/>
      <c r="G6" s="13"/>
    </row>
    <row r="7" spans="1:7" ht="30">
      <c r="A7" s="18" t="s">
        <v>169</v>
      </c>
      <c r="B7" s="65" t="s">
        <v>168</v>
      </c>
      <c r="C7" s="21"/>
      <c r="D7" s="12"/>
      <c r="E7" s="12"/>
      <c r="F7" s="12"/>
      <c r="G7" s="13"/>
    </row>
    <row r="8" spans="1:7" ht="30">
      <c r="A8" s="18" t="s">
        <v>49</v>
      </c>
      <c r="B8" s="65" t="s">
        <v>48</v>
      </c>
      <c r="C8" s="21"/>
      <c r="D8" s="12">
        <v>200</v>
      </c>
      <c r="E8" s="12"/>
      <c r="F8" s="12"/>
      <c r="G8" s="13"/>
    </row>
    <row r="9" spans="1:7" ht="15">
      <c r="A9" s="18" t="s">
        <v>171</v>
      </c>
      <c r="B9" s="65" t="s">
        <v>170</v>
      </c>
      <c r="C9" s="21"/>
      <c r="D9" s="12"/>
      <c r="E9" s="12"/>
      <c r="F9" s="12"/>
      <c r="G9" s="13"/>
    </row>
    <row r="10" spans="1:7" ht="15">
      <c r="A10" s="18" t="s">
        <v>50</v>
      </c>
      <c r="B10" s="65" t="s">
        <v>172</v>
      </c>
      <c r="C10" s="21">
        <f>D40</f>
        <v>15295</v>
      </c>
      <c r="D10" s="12"/>
      <c r="E10" s="12"/>
      <c r="F10" s="12"/>
      <c r="G10" s="13"/>
    </row>
    <row r="11" spans="1:7" ht="35.25" customHeight="1">
      <c r="A11" s="18" t="s">
        <v>340</v>
      </c>
      <c r="B11" s="65" t="s">
        <v>155</v>
      </c>
      <c r="C11" s="21">
        <f>227370+21033</f>
        <v>248403</v>
      </c>
      <c r="D11" s="12"/>
      <c r="E11" s="12"/>
      <c r="F11" s="12"/>
      <c r="G11" s="13"/>
    </row>
    <row r="12" spans="1:7" ht="48.75" customHeight="1">
      <c r="A12" s="220" t="s">
        <v>347</v>
      </c>
      <c r="B12" s="65" t="s">
        <v>348</v>
      </c>
      <c r="C12" s="21">
        <f>D46</f>
        <v>35000</v>
      </c>
      <c r="D12" s="12"/>
      <c r="E12" s="12"/>
      <c r="F12" s="12"/>
      <c r="G12" s="13"/>
    </row>
    <row r="13" spans="1:7" ht="30" customHeight="1">
      <c r="A13" s="18" t="s">
        <v>233</v>
      </c>
      <c r="B13" s="14" t="s">
        <v>232</v>
      </c>
      <c r="C13" s="21">
        <f>D70+D88+D93</f>
        <v>2728481</v>
      </c>
      <c r="D13" s="12"/>
      <c r="E13" s="12">
        <v>1500</v>
      </c>
      <c r="F13" s="12"/>
      <c r="G13" s="13"/>
    </row>
    <row r="14" spans="1:7" ht="30">
      <c r="A14" s="19" t="s">
        <v>239</v>
      </c>
      <c r="B14" s="14" t="s">
        <v>173</v>
      </c>
      <c r="C14" s="22"/>
      <c r="D14" s="12"/>
      <c r="E14" s="12"/>
      <c r="F14" s="12"/>
      <c r="G14" s="13"/>
    </row>
    <row r="15" spans="1:7" ht="30">
      <c r="A15" s="19" t="s">
        <v>240</v>
      </c>
      <c r="B15" s="14" t="s">
        <v>55</v>
      </c>
      <c r="C15" s="22">
        <f>D101</f>
        <v>243088</v>
      </c>
      <c r="D15" s="12"/>
      <c r="E15" s="12"/>
      <c r="F15" s="12"/>
      <c r="G15" s="13"/>
    </row>
    <row r="16" spans="1:7" ht="30">
      <c r="A16" s="18" t="s">
        <v>346</v>
      </c>
      <c r="B16" s="14" t="s">
        <v>210</v>
      </c>
      <c r="C16" s="22">
        <f>D108</f>
        <v>108119</v>
      </c>
      <c r="D16" s="12"/>
      <c r="E16" s="12"/>
      <c r="F16" s="12"/>
      <c r="G16" s="13"/>
    </row>
    <row r="17" spans="1:7" ht="30">
      <c r="A17" s="18" t="s">
        <v>241</v>
      </c>
      <c r="B17" s="14" t="s">
        <v>356</v>
      </c>
      <c r="C17" s="22">
        <f>D113+D118</f>
        <v>25623</v>
      </c>
      <c r="D17" s="13"/>
      <c r="E17" s="13">
        <v>-7948</v>
      </c>
      <c r="F17" s="13">
        <v>1850</v>
      </c>
      <c r="G17" s="13"/>
    </row>
    <row r="18" spans="1:7" ht="30">
      <c r="A18" s="18" t="s">
        <v>371</v>
      </c>
      <c r="B18" s="14" t="s">
        <v>372</v>
      </c>
      <c r="C18" s="22"/>
      <c r="D18" s="13"/>
      <c r="E18" s="13">
        <v>1330</v>
      </c>
      <c r="F18" s="13"/>
      <c r="G18" s="13"/>
    </row>
    <row r="19" spans="1:9" ht="14.25">
      <c r="A19" s="15" t="s">
        <v>24</v>
      </c>
      <c r="B19" s="16"/>
      <c r="C19" s="17">
        <f>SUM(C4:C18)</f>
        <v>3738697</v>
      </c>
      <c r="D19" s="17">
        <f>SUM(D4:D18)</f>
        <v>200</v>
      </c>
      <c r="E19" s="17">
        <f>SUM(E4:E18)</f>
        <v>-5118</v>
      </c>
      <c r="F19" s="17">
        <f>SUM(F4:F18)</f>
        <v>1850</v>
      </c>
      <c r="G19" s="17">
        <f>SUM(C19:F19)</f>
        <v>3735629</v>
      </c>
      <c r="I19" s="55"/>
    </row>
    <row r="20" spans="1:7" ht="14.25">
      <c r="A20" s="15" t="s">
        <v>680</v>
      </c>
      <c r="B20" s="16"/>
      <c r="C20" s="112"/>
      <c r="D20" s="17"/>
      <c r="E20" s="16"/>
      <c r="F20" s="16"/>
      <c r="G20" s="17">
        <f>SUM(C20:F20)</f>
        <v>0</v>
      </c>
    </row>
    <row r="21" spans="1:7" ht="15">
      <c r="A21" s="28" t="s">
        <v>215</v>
      </c>
      <c r="B21" s="29"/>
      <c r="C21" s="112">
        <f>C31</f>
        <v>-3413781</v>
      </c>
      <c r="G21" s="17">
        <f>SUM(C21:F21)</f>
        <v>-3413781</v>
      </c>
    </row>
    <row r="22" spans="1:7" ht="15">
      <c r="A22" s="28"/>
      <c r="B22" s="29"/>
      <c r="C22" s="112"/>
      <c r="G22" s="17"/>
    </row>
    <row r="23" spans="1:7" ht="15.75">
      <c r="A23" s="71" t="s">
        <v>511</v>
      </c>
      <c r="B23" s="61"/>
      <c r="C23" s="478">
        <v>-281211</v>
      </c>
      <c r="G23" s="17"/>
    </row>
    <row r="24" spans="1:7" ht="15.75">
      <c r="A24" s="59" t="s">
        <v>512</v>
      </c>
      <c r="B24" s="61"/>
      <c r="C24" s="478">
        <v>-16966</v>
      </c>
      <c r="G24" s="17"/>
    </row>
    <row r="25" spans="1:7" ht="31.5">
      <c r="A25" s="59" t="s">
        <v>638</v>
      </c>
      <c r="B25" s="61"/>
      <c r="C25" s="478">
        <v>-498310</v>
      </c>
      <c r="G25" s="17"/>
    </row>
    <row r="26" spans="1:7" ht="15.75">
      <c r="A26" s="59" t="s">
        <v>853</v>
      </c>
      <c r="B26" s="61"/>
      <c r="C26" s="478">
        <v>-24984</v>
      </c>
      <c r="G26" s="17"/>
    </row>
    <row r="27" spans="1:7" ht="31.5">
      <c r="A27" s="59" t="s">
        <v>601</v>
      </c>
      <c r="B27" s="61"/>
      <c r="C27" s="478">
        <v>-750000</v>
      </c>
      <c r="G27" s="17"/>
    </row>
    <row r="28" spans="1:7" ht="15.75">
      <c r="A28" s="517" t="s">
        <v>860</v>
      </c>
      <c r="B28" s="61"/>
      <c r="C28" s="478">
        <v>-488870</v>
      </c>
      <c r="G28" s="17"/>
    </row>
    <row r="29" spans="1:7" ht="31.5">
      <c r="A29" s="59" t="s">
        <v>633</v>
      </c>
      <c r="B29" s="61"/>
      <c r="C29" s="478">
        <v>-142800</v>
      </c>
      <c r="G29" s="17"/>
    </row>
    <row r="30" spans="1:7" ht="31.5">
      <c r="A30" s="59" t="s">
        <v>600</v>
      </c>
      <c r="B30" s="61"/>
      <c r="C30" s="127">
        <v>-1210640</v>
      </c>
      <c r="G30" s="17"/>
    </row>
    <row r="31" spans="1:7" ht="15">
      <c r="A31" s="135" t="s">
        <v>24</v>
      </c>
      <c r="B31" s="29"/>
      <c r="C31" s="112">
        <f>SUM(C23:C30)</f>
        <v>-3413781</v>
      </c>
      <c r="G31" s="17"/>
    </row>
    <row r="32" spans="1:7" ht="15">
      <c r="A32" s="28"/>
      <c r="B32" s="62"/>
      <c r="C32" s="13"/>
      <c r="G32" s="17"/>
    </row>
    <row r="33" spans="1:7" ht="18.75">
      <c r="A33" s="587" t="s">
        <v>408</v>
      </c>
      <c r="B33" s="587"/>
      <c r="C33" s="587"/>
      <c r="D33" s="587"/>
      <c r="E33" s="587"/>
      <c r="F33" s="587"/>
      <c r="G33" s="587"/>
    </row>
    <row r="34" spans="1:7" ht="15.75">
      <c r="A34" s="28"/>
      <c r="B34" s="62"/>
      <c r="C34" s="55"/>
      <c r="D34" s="513" t="s">
        <v>343</v>
      </c>
      <c r="G34" s="17"/>
    </row>
    <row r="35" spans="1:11" ht="47.25">
      <c r="A35" s="518" t="s">
        <v>724</v>
      </c>
      <c r="B35" s="23"/>
      <c r="C35" s="23"/>
      <c r="D35" s="461">
        <v>3495</v>
      </c>
      <c r="G35" s="17"/>
      <c r="J35" s="123"/>
      <c r="K35" s="454"/>
    </row>
    <row r="36" spans="1:11" ht="49.5" customHeight="1">
      <c r="A36" s="18" t="s">
        <v>785</v>
      </c>
      <c r="B36" s="62"/>
      <c r="C36" s="55"/>
      <c r="D36" s="461">
        <v>800</v>
      </c>
      <c r="G36" s="17"/>
      <c r="J36" s="123"/>
      <c r="K36" s="466"/>
    </row>
    <row r="37" spans="1:11" ht="45">
      <c r="A37" s="18" t="s">
        <v>786</v>
      </c>
      <c r="B37" s="62"/>
      <c r="C37" s="55"/>
      <c r="D37" s="461">
        <v>10000</v>
      </c>
      <c r="G37" s="17"/>
      <c r="J37" s="123"/>
      <c r="K37" s="466"/>
    </row>
    <row r="38" spans="1:11" ht="30">
      <c r="A38" s="18" t="s">
        <v>864</v>
      </c>
      <c r="B38" s="62"/>
      <c r="C38" s="55"/>
      <c r="D38" s="461">
        <v>1000</v>
      </c>
      <c r="G38" s="17"/>
      <c r="J38" s="123"/>
      <c r="K38" s="466"/>
    </row>
    <row r="39" spans="1:7" ht="15.75">
      <c r="A39" s="28"/>
      <c r="B39" s="62"/>
      <c r="C39" s="55"/>
      <c r="D39" s="24"/>
      <c r="G39" s="17"/>
    </row>
    <row r="40" spans="1:7" ht="15.75">
      <c r="A40" s="28"/>
      <c r="B40" s="62"/>
      <c r="C40" s="29" t="s">
        <v>323</v>
      </c>
      <c r="D40" s="117">
        <f>SUM(D35:D39)</f>
        <v>15295</v>
      </c>
      <c r="G40" s="17"/>
    </row>
    <row r="41" spans="1:7" ht="15">
      <c r="A41" s="28"/>
      <c r="B41" s="62"/>
      <c r="C41" s="55"/>
      <c r="G41" s="17"/>
    </row>
    <row r="42" spans="1:7" ht="15">
      <c r="A42" s="28"/>
      <c r="B42" s="62"/>
      <c r="C42" s="55"/>
      <c r="G42" s="17"/>
    </row>
    <row r="43" spans="1:7" ht="38.25" customHeight="1">
      <c r="A43" s="589" t="s">
        <v>822</v>
      </c>
      <c r="B43" s="589"/>
      <c r="C43" s="589"/>
      <c r="D43" s="589"/>
      <c r="E43" s="589"/>
      <c r="F43" s="589"/>
      <c r="G43" s="17"/>
    </row>
    <row r="44" spans="1:7" ht="15.75">
      <c r="A44" s="28"/>
      <c r="B44" s="62"/>
      <c r="C44" s="55"/>
      <c r="D44" s="513" t="s">
        <v>343</v>
      </c>
      <c r="G44" s="17"/>
    </row>
    <row r="45" spans="1:12" ht="45">
      <c r="A45" s="508" t="s">
        <v>668</v>
      </c>
      <c r="B45" s="62"/>
      <c r="C45" s="55"/>
      <c r="D45" s="55">
        <v>35000</v>
      </c>
      <c r="G45" s="17"/>
      <c r="K45" s="466"/>
      <c r="L45" s="29"/>
    </row>
    <row r="46" spans="1:7" ht="15.75">
      <c r="A46" s="28"/>
      <c r="B46" s="62"/>
      <c r="C46" s="55"/>
      <c r="D46" s="514">
        <f>D45</f>
        <v>35000</v>
      </c>
      <c r="G46" s="17"/>
    </row>
    <row r="47" spans="1:7" ht="15">
      <c r="A47" s="28"/>
      <c r="B47" s="62"/>
      <c r="C47" s="55"/>
      <c r="G47" s="17"/>
    </row>
    <row r="48" spans="1:7" ht="18" customHeight="1">
      <c r="A48" s="587" t="s">
        <v>353</v>
      </c>
      <c r="B48" s="587"/>
      <c r="C48" s="587"/>
      <c r="D48" s="587"/>
      <c r="E48" s="587"/>
      <c r="F48" s="587"/>
      <c r="G48" s="587"/>
    </row>
    <row r="49" ht="15.75">
      <c r="D49" s="513" t="s">
        <v>343</v>
      </c>
    </row>
    <row r="50" spans="1:11" ht="30">
      <c r="A50" s="451" t="s">
        <v>714</v>
      </c>
      <c r="B50" s="29"/>
      <c r="C50" s="29"/>
      <c r="D50" s="531">
        <f>2280+96792+70049+1820</f>
        <v>170941</v>
      </c>
      <c r="I50" s="452"/>
      <c r="J50" s="453"/>
      <c r="K50" s="454"/>
    </row>
    <row r="51" spans="1:11" ht="30">
      <c r="A51" s="451" t="s">
        <v>877</v>
      </c>
      <c r="B51" s="29"/>
      <c r="C51" s="29"/>
      <c r="D51" s="531">
        <v>1890577</v>
      </c>
      <c r="I51" s="466"/>
      <c r="J51" s="453"/>
      <c r="K51" s="454"/>
    </row>
    <row r="52" spans="1:11" ht="30">
      <c r="A52" s="451" t="s">
        <v>878</v>
      </c>
      <c r="B52" s="29"/>
      <c r="C52" s="29"/>
      <c r="D52" s="531">
        <v>107712</v>
      </c>
      <c r="I52" s="466"/>
      <c r="J52" s="453"/>
      <c r="K52" s="454"/>
    </row>
    <row r="53" spans="1:11" ht="30">
      <c r="A53" s="451" t="s">
        <v>879</v>
      </c>
      <c r="B53" s="29"/>
      <c r="C53" s="29"/>
      <c r="D53" s="531">
        <v>263300</v>
      </c>
      <c r="I53" s="466"/>
      <c r="J53" s="453"/>
      <c r="K53" s="454"/>
    </row>
    <row r="54" spans="1:11" ht="15.75">
      <c r="A54" s="28" t="s">
        <v>715</v>
      </c>
      <c r="B54" s="29"/>
      <c r="C54" s="29"/>
      <c r="D54" s="134">
        <v>87178</v>
      </c>
      <c r="I54" s="452"/>
      <c r="K54" s="454"/>
    </row>
    <row r="55" spans="1:11" ht="30">
      <c r="A55" s="451" t="s">
        <v>731</v>
      </c>
      <c r="B55" s="29"/>
      <c r="C55" s="29"/>
      <c r="D55" s="134">
        <v>5075</v>
      </c>
      <c r="I55" s="454"/>
      <c r="K55" s="466"/>
    </row>
    <row r="56" spans="1:11" ht="30">
      <c r="A56" s="451" t="s">
        <v>732</v>
      </c>
      <c r="B56" s="29"/>
      <c r="C56" s="29"/>
      <c r="D56" s="134">
        <v>2658</v>
      </c>
      <c r="I56" s="454"/>
      <c r="K56" s="466"/>
    </row>
    <row r="57" spans="1:11" ht="30">
      <c r="A57" s="451" t="s">
        <v>823</v>
      </c>
      <c r="B57" s="467"/>
      <c r="C57" s="467"/>
      <c r="D57" s="530">
        <f>1576+142945</f>
        <v>144521</v>
      </c>
      <c r="I57" s="466"/>
      <c r="J57" s="467"/>
      <c r="K57" s="466"/>
    </row>
    <row r="58" spans="1:11" ht="30">
      <c r="A58" s="451" t="s">
        <v>824</v>
      </c>
      <c r="B58" s="467"/>
      <c r="C58" s="467"/>
      <c r="D58" s="530">
        <f>-1381+30599</f>
        <v>29218</v>
      </c>
      <c r="I58" s="466"/>
      <c r="J58" s="467"/>
      <c r="K58" s="466"/>
    </row>
    <row r="59" spans="1:11" ht="15.75">
      <c r="A59" s="458" t="s">
        <v>717</v>
      </c>
      <c r="B59" s="29"/>
      <c r="C59" s="29"/>
      <c r="D59" s="126">
        <v>945</v>
      </c>
      <c r="I59" s="457"/>
      <c r="K59" s="459"/>
    </row>
    <row r="60" spans="1:11" ht="30">
      <c r="A60" s="28" t="s">
        <v>720</v>
      </c>
      <c r="B60" s="29"/>
      <c r="C60" s="29"/>
      <c r="D60" s="126">
        <v>6030</v>
      </c>
      <c r="I60" s="457"/>
      <c r="K60" s="459"/>
    </row>
    <row r="61" spans="1:11" ht="45">
      <c r="A61" s="28" t="s">
        <v>721</v>
      </c>
      <c r="B61" s="29"/>
      <c r="C61" s="29"/>
      <c r="D61" s="126">
        <v>1286</v>
      </c>
      <c r="I61" s="457"/>
      <c r="K61" s="459"/>
    </row>
    <row r="62" spans="1:11" ht="45">
      <c r="A62" s="18" t="s">
        <v>722</v>
      </c>
      <c r="B62" s="29"/>
      <c r="C62" s="29"/>
      <c r="D62" s="24">
        <v>7623</v>
      </c>
      <c r="I62" s="457"/>
      <c r="K62" s="459"/>
    </row>
    <row r="63" spans="1:11" ht="75">
      <c r="A63" s="456" t="s">
        <v>723</v>
      </c>
      <c r="B63" s="29"/>
      <c r="C63" s="29"/>
      <c r="D63" s="461">
        <f>4643+1200</f>
        <v>5843</v>
      </c>
      <c r="I63" s="460"/>
      <c r="K63" s="462"/>
    </row>
    <row r="64" spans="1:11" ht="30">
      <c r="A64" s="456" t="s">
        <v>719</v>
      </c>
      <c r="B64" s="29"/>
      <c r="C64" s="29"/>
      <c r="D64" s="24">
        <v>-5418</v>
      </c>
      <c r="I64" s="466"/>
      <c r="J64" s="467"/>
      <c r="K64" s="466"/>
    </row>
    <row r="65" spans="1:11" ht="30">
      <c r="A65" s="451" t="s">
        <v>787</v>
      </c>
      <c r="B65" s="29"/>
      <c r="C65" s="29"/>
      <c r="D65" s="24">
        <v>61500</v>
      </c>
      <c r="K65" s="466"/>
    </row>
    <row r="66" spans="1:11" ht="30">
      <c r="A66" s="480" t="s">
        <v>788</v>
      </c>
      <c r="B66" s="29"/>
      <c r="C66" s="29"/>
      <c r="D66" s="24">
        <v>14948</v>
      </c>
      <c r="K66" s="466"/>
    </row>
    <row r="67" spans="1:11" ht="49.5" customHeight="1">
      <c r="A67" s="28" t="s">
        <v>626</v>
      </c>
      <c r="B67" s="29"/>
      <c r="C67" s="29"/>
      <c r="D67" s="24">
        <v>-11500</v>
      </c>
      <c r="I67" s="457"/>
      <c r="K67" s="462"/>
    </row>
    <row r="68" spans="1:11" ht="15.75">
      <c r="A68" s="28"/>
      <c r="B68" s="29"/>
      <c r="C68" s="29"/>
      <c r="D68" s="24"/>
      <c r="I68" s="457"/>
      <c r="K68" s="462"/>
    </row>
    <row r="69" spans="1:4" ht="15.75">
      <c r="A69" s="28"/>
      <c r="B69" s="29"/>
      <c r="C69" s="29"/>
      <c r="D69" s="24"/>
    </row>
    <row r="70" spans="1:4" s="29" customFormat="1" ht="18.75" customHeight="1">
      <c r="A70" s="79"/>
      <c r="C70" s="29" t="s">
        <v>323</v>
      </c>
      <c r="D70" s="117">
        <f>SUM(D50:D69)</f>
        <v>2782437</v>
      </c>
    </row>
    <row r="71" spans="1:4" s="29" customFormat="1" ht="15">
      <c r="A71" s="28"/>
      <c r="D71" s="17"/>
    </row>
    <row r="72" spans="1:7" s="29" customFormat="1" ht="45" customHeight="1">
      <c r="A72" s="587" t="s">
        <v>349</v>
      </c>
      <c r="B72" s="587"/>
      <c r="C72" s="587"/>
      <c r="D72" s="587"/>
      <c r="E72" s="587"/>
      <c r="F72" s="587"/>
      <c r="G72" s="587"/>
    </row>
    <row r="73" spans="1:4" s="29" customFormat="1" ht="15.75">
      <c r="A73" s="28"/>
      <c r="D73" s="513" t="s">
        <v>343</v>
      </c>
    </row>
    <row r="74" spans="1:4" s="29" customFormat="1" ht="15.75">
      <c r="A74" s="132"/>
      <c r="D74" s="126"/>
    </row>
    <row r="75" spans="1:11" s="29" customFormat="1" ht="30.75">
      <c r="A75" s="455" t="s">
        <v>716</v>
      </c>
      <c r="B75" s="131"/>
      <c r="C75" s="131"/>
      <c r="D75" s="134">
        <v>-4778</v>
      </c>
      <c r="K75" s="466"/>
    </row>
    <row r="76" spans="1:11" s="29" customFormat="1" ht="30">
      <c r="A76" s="479" t="s">
        <v>536</v>
      </c>
      <c r="D76" s="126">
        <v>51947</v>
      </c>
      <c r="K76" s="466"/>
    </row>
    <row r="77" spans="1:11" s="29" customFormat="1" ht="45">
      <c r="A77" s="479" t="s">
        <v>845</v>
      </c>
      <c r="D77" s="126">
        <v>-595</v>
      </c>
      <c r="K77" s="466"/>
    </row>
    <row r="78" spans="1:11" s="29" customFormat="1" ht="30">
      <c r="A78" s="504" t="s">
        <v>494</v>
      </c>
      <c r="D78" s="126">
        <v>24167</v>
      </c>
      <c r="K78" s="466"/>
    </row>
    <row r="79" spans="1:11" s="29" customFormat="1" ht="15.75">
      <c r="A79" s="480" t="s">
        <v>548</v>
      </c>
      <c r="D79" s="126">
        <v>19072</v>
      </c>
      <c r="K79" s="466"/>
    </row>
    <row r="80" spans="1:11" s="29" customFormat="1" ht="30.75" customHeight="1">
      <c r="A80" s="479" t="s">
        <v>819</v>
      </c>
      <c r="B80" s="467"/>
      <c r="D80" s="126">
        <v>35247</v>
      </c>
      <c r="K80" s="466"/>
    </row>
    <row r="81" spans="1:11" s="29" customFormat="1" ht="33.75" customHeight="1">
      <c r="A81" s="508" t="s">
        <v>668</v>
      </c>
      <c r="D81" s="126">
        <v>-35000</v>
      </c>
      <c r="K81" s="466"/>
    </row>
    <row r="82" spans="1:11" s="29" customFormat="1" ht="47.25">
      <c r="A82" s="509" t="s">
        <v>594</v>
      </c>
      <c r="D82" s="126">
        <v>-96332</v>
      </c>
      <c r="K82" s="466"/>
    </row>
    <row r="83" spans="1:11" s="29" customFormat="1" ht="45">
      <c r="A83" s="480" t="s">
        <v>842</v>
      </c>
      <c r="D83" s="126">
        <v>1321</v>
      </c>
      <c r="K83" s="466"/>
    </row>
    <row r="84" spans="1:11" s="29" customFormat="1" ht="30">
      <c r="A84" s="18" t="s">
        <v>855</v>
      </c>
      <c r="D84" s="126">
        <v>204985</v>
      </c>
      <c r="K84" s="466"/>
    </row>
    <row r="85" spans="1:11" s="29" customFormat="1" ht="46.5" customHeight="1">
      <c r="A85" s="512" t="s">
        <v>489</v>
      </c>
      <c r="D85" s="126">
        <v>1035</v>
      </c>
      <c r="K85" s="466"/>
    </row>
    <row r="86" spans="1:11" s="29" customFormat="1" ht="45">
      <c r="A86" s="28" t="s">
        <v>608</v>
      </c>
      <c r="D86" s="126">
        <v>11663</v>
      </c>
      <c r="K86" s="466"/>
    </row>
    <row r="87" spans="1:11" s="29" customFormat="1" ht="30">
      <c r="A87" s="132" t="s">
        <v>517</v>
      </c>
      <c r="D87" s="126">
        <v>28000</v>
      </c>
      <c r="K87" s="466"/>
    </row>
    <row r="88" spans="1:4" s="29" customFormat="1" ht="15">
      <c r="A88" s="28"/>
      <c r="C88" s="29" t="s">
        <v>323</v>
      </c>
      <c r="D88" s="17">
        <f>SUM(D74:D87)</f>
        <v>240732</v>
      </c>
    </row>
    <row r="89" spans="1:4" s="29" customFormat="1" ht="15">
      <c r="A89" s="28"/>
      <c r="D89" s="17"/>
    </row>
    <row r="90" spans="1:6" s="29" customFormat="1" ht="34.5" customHeight="1">
      <c r="A90" s="587" t="s">
        <v>457</v>
      </c>
      <c r="B90" s="587"/>
      <c r="C90" s="587"/>
      <c r="D90" s="587"/>
      <c r="E90" s="587"/>
      <c r="F90" s="587"/>
    </row>
    <row r="91" spans="1:6" s="29" customFormat="1" ht="15.75">
      <c r="A91" s="458"/>
      <c r="B91" s="123"/>
      <c r="C91" s="123"/>
      <c r="D91" s="124" t="s">
        <v>343</v>
      </c>
      <c r="E91" s="124"/>
      <c r="F91" s="124"/>
    </row>
    <row r="92" spans="1:11" s="29" customFormat="1" ht="15.75">
      <c r="A92" s="458" t="s">
        <v>718</v>
      </c>
      <c r="B92" s="123"/>
      <c r="C92" s="123"/>
      <c r="D92" s="126">
        <v>-294688</v>
      </c>
      <c r="E92" s="124"/>
      <c r="F92" s="124"/>
      <c r="K92" s="454"/>
    </row>
    <row r="93" spans="1:6" s="29" customFormat="1" ht="15.75">
      <c r="A93" s="18" t="s">
        <v>219</v>
      </c>
      <c r="B93" s="125"/>
      <c r="C93" s="125"/>
      <c r="D93" s="117">
        <f>D92</f>
        <v>-294688</v>
      </c>
      <c r="E93" s="117"/>
      <c r="F93" s="124"/>
    </row>
    <row r="94" spans="1:4" s="29" customFormat="1" ht="15">
      <c r="A94" s="28"/>
      <c r="D94" s="17"/>
    </row>
    <row r="95" spans="1:4" s="29" customFormat="1" ht="15">
      <c r="A95" s="28"/>
      <c r="D95" s="17"/>
    </row>
    <row r="96" spans="1:7" s="29" customFormat="1" ht="18.75">
      <c r="A96" s="587" t="s">
        <v>421</v>
      </c>
      <c r="B96" s="587"/>
      <c r="C96" s="587"/>
      <c r="D96" s="587"/>
      <c r="E96" s="587"/>
      <c r="F96" s="587"/>
      <c r="G96" s="587"/>
    </row>
    <row r="97" spans="1:4" s="29" customFormat="1" ht="15">
      <c r="A97" s="28"/>
      <c r="D97" s="515" t="s">
        <v>343</v>
      </c>
    </row>
    <row r="98" spans="1:11" s="29" customFormat="1" ht="30">
      <c r="A98" s="510" t="s">
        <v>638</v>
      </c>
      <c r="D98" s="549">
        <v>243088</v>
      </c>
      <c r="K98" s="466"/>
    </row>
    <row r="99" spans="1:4" s="29" customFormat="1" ht="15">
      <c r="A99" s="28"/>
      <c r="D99" s="13"/>
    </row>
    <row r="100" spans="1:4" s="29" customFormat="1" ht="15">
      <c r="A100" s="28"/>
      <c r="D100" s="13"/>
    </row>
    <row r="101" spans="1:4" s="29" customFormat="1" ht="15">
      <c r="A101" s="28"/>
      <c r="D101" s="17">
        <f>SUM(D98:D100)</f>
        <v>243088</v>
      </c>
    </row>
    <row r="102" spans="1:7" s="29" customFormat="1" ht="18.75">
      <c r="A102" s="587" t="s">
        <v>474</v>
      </c>
      <c r="B102" s="587"/>
      <c r="C102" s="587"/>
      <c r="D102" s="587"/>
      <c r="E102" s="587"/>
      <c r="F102" s="587"/>
      <c r="G102" s="587"/>
    </row>
    <row r="103" spans="1:7" s="29" customFormat="1" ht="18.75">
      <c r="A103" s="131"/>
      <c r="B103" s="131"/>
      <c r="C103" s="131"/>
      <c r="D103" s="515" t="s">
        <v>343</v>
      </c>
      <c r="E103" s="131"/>
      <c r="F103" s="131"/>
      <c r="G103" s="131"/>
    </row>
    <row r="104" spans="1:11" s="29" customFormat="1" ht="30.75">
      <c r="A104" s="455" t="s">
        <v>716</v>
      </c>
      <c r="B104" s="131"/>
      <c r="C104" s="131"/>
      <c r="D104" s="134">
        <v>4778</v>
      </c>
      <c r="E104" s="131"/>
      <c r="F104" s="131"/>
      <c r="G104" s="131"/>
      <c r="K104" s="466"/>
    </row>
    <row r="105" spans="1:11" s="29" customFormat="1" ht="60.75">
      <c r="A105" s="479" t="s">
        <v>811</v>
      </c>
      <c r="B105" s="131"/>
      <c r="C105" s="131"/>
      <c r="D105" s="134">
        <v>6540</v>
      </c>
      <c r="E105" s="131"/>
      <c r="F105" s="131"/>
      <c r="G105" s="131"/>
      <c r="K105" s="466"/>
    </row>
    <row r="106" spans="1:11" s="29" customFormat="1" ht="60">
      <c r="A106" s="512" t="s">
        <v>527</v>
      </c>
      <c r="D106" s="134">
        <v>469</v>
      </c>
      <c r="K106" s="466"/>
    </row>
    <row r="107" spans="1:11" s="29" customFormat="1" ht="48">
      <c r="A107" s="509" t="s">
        <v>594</v>
      </c>
      <c r="B107" s="131"/>
      <c r="C107" s="131"/>
      <c r="D107" s="21">
        <v>96332</v>
      </c>
      <c r="E107" s="131"/>
      <c r="F107" s="131"/>
      <c r="G107" s="131"/>
      <c r="K107" s="466"/>
    </row>
    <row r="108" spans="1:7" s="29" customFormat="1" ht="18.75">
      <c r="A108" s="131"/>
      <c r="B108" s="131"/>
      <c r="C108" s="131"/>
      <c r="D108" s="558">
        <f>SUM(D104:D107)</f>
        <v>108119</v>
      </c>
      <c r="E108" s="131"/>
      <c r="F108" s="131"/>
      <c r="G108" s="131"/>
    </row>
    <row r="109" spans="1:7" s="29" customFormat="1" ht="18.75">
      <c r="A109" s="131"/>
      <c r="B109" s="131"/>
      <c r="C109" s="131"/>
      <c r="D109" s="516"/>
      <c r="E109" s="131"/>
      <c r="F109" s="131"/>
      <c r="G109" s="131"/>
    </row>
    <row r="110" spans="1:7" s="29" customFormat="1" ht="18.75">
      <c r="A110" s="587" t="s">
        <v>500</v>
      </c>
      <c r="B110" s="587"/>
      <c r="C110" s="587"/>
      <c r="D110" s="587"/>
      <c r="E110" s="587"/>
      <c r="F110" s="587"/>
      <c r="G110" s="587"/>
    </row>
    <row r="111" spans="1:7" s="29" customFormat="1" ht="18.75">
      <c r="A111" s="131"/>
      <c r="B111" s="131"/>
      <c r="C111" s="131"/>
      <c r="D111" s="515" t="s">
        <v>343</v>
      </c>
      <c r="E111" s="131"/>
      <c r="F111" s="131"/>
      <c r="G111" s="131"/>
    </row>
    <row r="112" spans="1:11" s="29" customFormat="1" ht="30.75">
      <c r="A112" s="28" t="s">
        <v>871</v>
      </c>
      <c r="B112" s="131"/>
      <c r="C112" s="131"/>
      <c r="D112" s="21">
        <v>20000</v>
      </c>
      <c r="E112" s="131"/>
      <c r="F112" s="131"/>
      <c r="G112" s="131"/>
      <c r="I112" s="511"/>
      <c r="K112" s="466"/>
    </row>
    <row r="113" spans="1:7" s="29" customFormat="1" ht="18.75">
      <c r="A113" s="131"/>
      <c r="B113" s="131"/>
      <c r="C113" s="131"/>
      <c r="D113" s="558">
        <f>D112</f>
        <v>20000</v>
      </c>
      <c r="E113" s="131"/>
      <c r="F113" s="131"/>
      <c r="G113" s="131"/>
    </row>
    <row r="114" spans="1:7" s="29" customFormat="1" ht="18.75">
      <c r="A114" s="131"/>
      <c r="B114" s="131"/>
      <c r="C114" s="131"/>
      <c r="D114" s="516"/>
      <c r="E114" s="131"/>
      <c r="F114" s="131"/>
      <c r="G114" s="131"/>
    </row>
    <row r="115" spans="1:7" s="29" customFormat="1" ht="18.75">
      <c r="A115" s="587" t="s">
        <v>789</v>
      </c>
      <c r="B115" s="587"/>
      <c r="C115" s="587"/>
      <c r="D115" s="587"/>
      <c r="E115" s="587"/>
      <c r="F115" s="587"/>
      <c r="G115" s="131"/>
    </row>
    <row r="116" spans="1:7" s="29" customFormat="1" ht="18.75">
      <c r="A116" s="131"/>
      <c r="B116" s="131"/>
      <c r="C116" s="131"/>
      <c r="D116" s="515" t="s">
        <v>343</v>
      </c>
      <c r="E116" s="131"/>
      <c r="F116" s="131"/>
      <c r="G116" s="131"/>
    </row>
    <row r="117" spans="1:11" s="29" customFormat="1" ht="30.75">
      <c r="A117" s="557" t="s">
        <v>913</v>
      </c>
      <c r="B117" s="548"/>
      <c r="C117" s="548"/>
      <c r="D117" s="559">
        <v>5623</v>
      </c>
      <c r="E117" s="131"/>
      <c r="F117" s="131"/>
      <c r="G117" s="131"/>
      <c r="K117" s="466"/>
    </row>
    <row r="118" spans="1:7" s="29" customFormat="1" ht="18.75">
      <c r="A118" s="131"/>
      <c r="B118" s="131"/>
      <c r="C118" s="131"/>
      <c r="D118" s="558">
        <f>D117</f>
        <v>5623</v>
      </c>
      <c r="E118" s="131"/>
      <c r="F118" s="131"/>
      <c r="G118" s="131"/>
    </row>
    <row r="119" spans="1:5" ht="18" customHeight="1">
      <c r="A119" s="29" t="s">
        <v>365</v>
      </c>
      <c r="B119" s="29"/>
      <c r="C119" s="29"/>
      <c r="D119" s="13"/>
      <c r="E119" s="29" t="s">
        <v>36</v>
      </c>
    </row>
    <row r="120" spans="1:5" ht="15">
      <c r="A120" s="29"/>
      <c r="B120" s="29"/>
      <c r="C120" s="29"/>
      <c r="D120" s="13"/>
      <c r="E120" s="29"/>
    </row>
    <row r="124" ht="18" customHeight="1"/>
  </sheetData>
  <sheetProtection/>
  <mergeCells count="10">
    <mergeCell ref="A115:F115"/>
    <mergeCell ref="A110:G110"/>
    <mergeCell ref="A102:G102"/>
    <mergeCell ref="A96:G96"/>
    <mergeCell ref="A72:G72"/>
    <mergeCell ref="A2:F2"/>
    <mergeCell ref="A48:G48"/>
    <mergeCell ref="A33:G33"/>
    <mergeCell ref="A90:F90"/>
    <mergeCell ref="A43:F43"/>
  </mergeCells>
  <printOptions/>
  <pageMargins left="0.7480314960629921" right="0.15748031496062992" top="0.4330708661417323" bottom="0.2755905511811024" header="0.5511811023622047" footer="0.275590551181102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4"/>
  <sheetViews>
    <sheetView zoomScalePageLayoutView="0" workbookViewId="0" topLeftCell="A10">
      <selection activeCell="H7" sqref="H7"/>
    </sheetView>
  </sheetViews>
  <sheetFormatPr defaultColWidth="9.140625" defaultRowHeight="12.75"/>
  <cols>
    <col min="1" max="1" width="27.421875" style="29" customWidth="1"/>
    <col min="2" max="2" width="12.00390625" style="157" customWidth="1"/>
    <col min="3" max="3" width="33.7109375" style="29" customWidth="1"/>
    <col min="4" max="4" width="13.28125" style="13" customWidth="1"/>
    <col min="5" max="5" width="50.421875" style="29" customWidth="1"/>
    <col min="6" max="16384" width="9.140625" style="29" customWidth="1"/>
  </cols>
  <sheetData>
    <row r="1" ht="15">
      <c r="E1" s="29" t="s">
        <v>37</v>
      </c>
    </row>
    <row r="2" spans="1:5" ht="18.75">
      <c r="A2" s="590" t="s">
        <v>681</v>
      </c>
      <c r="B2" s="590"/>
      <c r="C2" s="590"/>
      <c r="D2" s="590"/>
      <c r="E2" s="590"/>
    </row>
    <row r="3" spans="1:5" ht="31.5">
      <c r="A3" s="158" t="s">
        <v>2</v>
      </c>
      <c r="B3" s="159" t="s">
        <v>6</v>
      </c>
      <c r="C3" s="158" t="s">
        <v>3</v>
      </c>
      <c r="D3" s="160" t="s">
        <v>4</v>
      </c>
      <c r="E3" s="158" t="s">
        <v>5</v>
      </c>
    </row>
    <row r="4" spans="1:5" ht="15.75">
      <c r="A4" s="158"/>
      <c r="B4" s="161"/>
      <c r="C4" s="158"/>
      <c r="D4" s="160" t="s">
        <v>343</v>
      </c>
      <c r="E4" s="60"/>
    </row>
    <row r="5" spans="1:5" ht="15">
      <c r="A5" s="162" t="s">
        <v>142</v>
      </c>
      <c r="B5" s="163" t="s">
        <v>69</v>
      </c>
      <c r="C5" s="69"/>
      <c r="D5" s="164">
        <f>SUM(D6,D10,D15,D17,D19)</f>
        <v>-419278</v>
      </c>
      <c r="E5" s="61"/>
    </row>
    <row r="6" spans="1:5" ht="15">
      <c r="A6" s="185" t="s">
        <v>352</v>
      </c>
      <c r="B6" s="78" t="s">
        <v>242</v>
      </c>
      <c r="C6" s="69"/>
      <c r="D6" s="138">
        <f>SUM(D7:D9)</f>
        <v>5729</v>
      </c>
      <c r="E6" s="68"/>
    </row>
    <row r="7" spans="1:5" ht="15">
      <c r="A7" s="185"/>
      <c r="B7" s="77" t="s">
        <v>207</v>
      </c>
      <c r="C7" s="68" t="s">
        <v>197</v>
      </c>
      <c r="D7" s="156">
        <v>-75</v>
      </c>
      <c r="E7" s="68" t="s">
        <v>734</v>
      </c>
    </row>
    <row r="8" spans="1:5" ht="30">
      <c r="A8" s="185"/>
      <c r="B8" s="77" t="s">
        <v>486</v>
      </c>
      <c r="C8" s="68" t="s">
        <v>200</v>
      </c>
      <c r="D8" s="156">
        <f>229+75</f>
        <v>304</v>
      </c>
      <c r="E8" s="68" t="s">
        <v>733</v>
      </c>
    </row>
    <row r="9" spans="1:5" ht="45">
      <c r="A9" s="185"/>
      <c r="B9" s="77" t="s">
        <v>688</v>
      </c>
      <c r="C9" s="68" t="s">
        <v>689</v>
      </c>
      <c r="D9" s="156">
        <v>5500</v>
      </c>
      <c r="E9" s="68" t="s">
        <v>849</v>
      </c>
    </row>
    <row r="10" spans="1:5" ht="30">
      <c r="A10" s="185" t="s">
        <v>559</v>
      </c>
      <c r="B10" s="78" t="s">
        <v>425</v>
      </c>
      <c r="C10" s="68"/>
      <c r="D10" s="469">
        <f>SUM(D11:D14)</f>
        <v>-5597</v>
      </c>
      <c r="E10" s="68" t="s">
        <v>844</v>
      </c>
    </row>
    <row r="11" spans="1:5" ht="15">
      <c r="A11" s="185"/>
      <c r="B11" s="77" t="s">
        <v>18</v>
      </c>
      <c r="C11" s="61" t="s">
        <v>216</v>
      </c>
      <c r="D11" s="208">
        <v>-3948</v>
      </c>
      <c r="E11" s="68"/>
    </row>
    <row r="12" spans="1:5" ht="15">
      <c r="A12" s="185"/>
      <c r="B12" s="77" t="s">
        <v>19</v>
      </c>
      <c r="C12" s="61" t="s">
        <v>7</v>
      </c>
      <c r="D12" s="208">
        <v>-1093</v>
      </c>
      <c r="E12" s="68"/>
    </row>
    <row r="13" spans="1:5" ht="15">
      <c r="A13" s="185"/>
      <c r="B13" s="77" t="s">
        <v>207</v>
      </c>
      <c r="C13" s="68" t="s">
        <v>197</v>
      </c>
      <c r="D13" s="208">
        <v>-423</v>
      </c>
      <c r="E13" s="68"/>
    </row>
    <row r="14" spans="1:5" ht="30">
      <c r="A14" s="185"/>
      <c r="B14" s="77" t="s">
        <v>209</v>
      </c>
      <c r="C14" s="68" t="s">
        <v>560</v>
      </c>
      <c r="D14" s="208">
        <v>-133</v>
      </c>
      <c r="E14" s="68"/>
    </row>
    <row r="15" spans="1:5" ht="45">
      <c r="A15" s="153" t="s">
        <v>245</v>
      </c>
      <c r="B15" s="78" t="s">
        <v>531</v>
      </c>
      <c r="C15" s="68"/>
      <c r="D15" s="166">
        <f>SUM(D16:D16)</f>
        <v>7088</v>
      </c>
      <c r="E15" s="68"/>
    </row>
    <row r="16" spans="1:5" ht="105">
      <c r="A16" s="185"/>
      <c r="B16" s="77" t="s">
        <v>493</v>
      </c>
      <c r="C16" s="68" t="s">
        <v>528</v>
      </c>
      <c r="D16" s="471">
        <f>3425+3101+383+179</f>
        <v>7088</v>
      </c>
      <c r="E16" s="68" t="s">
        <v>850</v>
      </c>
    </row>
    <row r="17" spans="1:5" ht="33" customHeight="1">
      <c r="A17" s="532" t="s">
        <v>361</v>
      </c>
      <c r="B17" s="78" t="s">
        <v>439</v>
      </c>
      <c r="C17" s="68"/>
      <c r="D17" s="166">
        <f>D18</f>
        <v>30000</v>
      </c>
      <c r="E17" s="68" t="s">
        <v>755</v>
      </c>
    </row>
    <row r="18" spans="1:5" ht="30">
      <c r="A18" s="185"/>
      <c r="B18" s="77" t="s">
        <v>493</v>
      </c>
      <c r="C18" s="68" t="s">
        <v>534</v>
      </c>
      <c r="D18" s="139">
        <v>30000</v>
      </c>
      <c r="E18" s="68"/>
    </row>
    <row r="19" spans="1:5" ht="30">
      <c r="A19" s="486" t="s">
        <v>246</v>
      </c>
      <c r="B19" s="463" t="s">
        <v>367</v>
      </c>
      <c r="C19" s="68"/>
      <c r="D19" s="477">
        <f>-360418-21385-25527-47178-1990</f>
        <v>-456498</v>
      </c>
      <c r="E19" s="68"/>
    </row>
    <row r="20" spans="1:5" ht="29.25">
      <c r="A20" s="69" t="s">
        <v>80</v>
      </c>
      <c r="B20" s="163" t="s">
        <v>79</v>
      </c>
      <c r="C20" s="69"/>
      <c r="D20" s="167">
        <f>D21+D24+D27</f>
        <v>22500</v>
      </c>
      <c r="E20" s="68"/>
    </row>
    <row r="21" spans="1:5" ht="15">
      <c r="A21" s="153" t="s">
        <v>33</v>
      </c>
      <c r="B21" s="78" t="s">
        <v>247</v>
      </c>
      <c r="C21" s="69"/>
      <c r="D21" s="140">
        <f>SUM(D22:D26)</f>
        <v>0</v>
      </c>
      <c r="E21" s="68"/>
    </row>
    <row r="22" spans="1:5" ht="30">
      <c r="A22" s="168"/>
      <c r="B22" s="77" t="s">
        <v>207</v>
      </c>
      <c r="C22" s="68" t="s">
        <v>197</v>
      </c>
      <c r="D22" s="35">
        <v>1000</v>
      </c>
      <c r="E22" s="68" t="s">
        <v>741</v>
      </c>
    </row>
    <row r="23" spans="1:5" ht="30">
      <c r="A23" s="69"/>
      <c r="B23" s="77" t="s">
        <v>486</v>
      </c>
      <c r="C23" s="61" t="s">
        <v>200</v>
      </c>
      <c r="D23" s="35">
        <v>-1000</v>
      </c>
      <c r="E23" s="68" t="s">
        <v>740</v>
      </c>
    </row>
    <row r="24" spans="1:5" ht="45">
      <c r="A24" s="532" t="s">
        <v>248</v>
      </c>
      <c r="B24" s="78" t="s">
        <v>900</v>
      </c>
      <c r="C24" s="61"/>
      <c r="D24" s="502">
        <f>SUM(D25:D26)</f>
        <v>0</v>
      </c>
      <c r="E24" s="179" t="s">
        <v>21</v>
      </c>
    </row>
    <row r="25" spans="1:5" ht="15">
      <c r="A25" s="69"/>
      <c r="B25" s="77" t="s">
        <v>207</v>
      </c>
      <c r="C25" s="68" t="s">
        <v>197</v>
      </c>
      <c r="D25" s="35">
        <v>-800</v>
      </c>
      <c r="E25" s="68"/>
    </row>
    <row r="26" spans="1:5" ht="15">
      <c r="A26" s="69"/>
      <c r="B26" s="77" t="s">
        <v>209</v>
      </c>
      <c r="C26" s="61" t="s">
        <v>336</v>
      </c>
      <c r="D26" s="35">
        <v>800</v>
      </c>
      <c r="E26" s="68"/>
    </row>
    <row r="27" spans="1:5" ht="30">
      <c r="A27" s="153" t="s">
        <v>507</v>
      </c>
      <c r="B27" s="78" t="s">
        <v>506</v>
      </c>
      <c r="C27" s="61"/>
      <c r="D27" s="140">
        <f>SUM(D28:D29)</f>
        <v>22500</v>
      </c>
      <c r="E27" s="71" t="s">
        <v>851</v>
      </c>
    </row>
    <row r="28" spans="1:5" ht="15">
      <c r="A28" s="69"/>
      <c r="B28" s="77" t="s">
        <v>207</v>
      </c>
      <c r="C28" s="68" t="s">
        <v>197</v>
      </c>
      <c r="D28" s="175">
        <v>22500</v>
      </c>
      <c r="E28" s="68"/>
    </row>
    <row r="29" spans="1:5" ht="15">
      <c r="A29" s="69"/>
      <c r="B29" s="77"/>
      <c r="C29" s="61"/>
      <c r="D29" s="35"/>
      <c r="E29" s="68"/>
    </row>
    <row r="30" spans="1:5" ht="15">
      <c r="A30" s="69" t="s">
        <v>82</v>
      </c>
      <c r="B30" s="163" t="s">
        <v>9</v>
      </c>
      <c r="C30" s="69"/>
      <c r="D30" s="209">
        <f>SUM(D31,D35,D38,D41,D43,D47,D50,D51,D52,D54,D56,D58,D60,D62)</f>
        <v>-2919049</v>
      </c>
      <c r="E30" s="68"/>
    </row>
    <row r="31" spans="1:5" ht="30">
      <c r="A31" s="532" t="s">
        <v>250</v>
      </c>
      <c r="B31" s="78" t="s">
        <v>249</v>
      </c>
      <c r="C31" s="69"/>
      <c r="D31" s="140">
        <f>SUM(D32:D34)</f>
        <v>0</v>
      </c>
      <c r="E31" s="179" t="s">
        <v>21</v>
      </c>
    </row>
    <row r="32" spans="1:5" ht="15">
      <c r="A32" s="69"/>
      <c r="B32" s="77" t="s">
        <v>18</v>
      </c>
      <c r="C32" s="61" t="s">
        <v>216</v>
      </c>
      <c r="D32" s="470">
        <v>904</v>
      </c>
      <c r="E32" s="68"/>
    </row>
    <row r="33" spans="1:5" ht="15">
      <c r="A33" s="69"/>
      <c r="B33" s="77" t="s">
        <v>19</v>
      </c>
      <c r="C33" s="61" t="s">
        <v>7</v>
      </c>
      <c r="D33" s="470">
        <v>218</v>
      </c>
      <c r="E33" s="68"/>
    </row>
    <row r="34" spans="1:5" ht="15">
      <c r="A34" s="69"/>
      <c r="B34" s="142" t="s">
        <v>337</v>
      </c>
      <c r="C34" s="165" t="s">
        <v>339</v>
      </c>
      <c r="D34" s="470">
        <f>-1122</f>
        <v>-1122</v>
      </c>
      <c r="E34" s="68"/>
    </row>
    <row r="35" spans="1:5" ht="60">
      <c r="A35" s="188" t="s">
        <v>508</v>
      </c>
      <c r="B35" s="78" t="s">
        <v>442</v>
      </c>
      <c r="C35" s="61"/>
      <c r="D35" s="140">
        <f>SUM(D36:D37)</f>
        <v>-4401</v>
      </c>
      <c r="E35" s="68"/>
    </row>
    <row r="36" spans="1:5" ht="90">
      <c r="A36" s="69"/>
      <c r="B36" s="77" t="s">
        <v>207</v>
      </c>
      <c r="C36" s="68" t="s">
        <v>197</v>
      </c>
      <c r="D36" s="470">
        <f>-16041-454</f>
        <v>-16495</v>
      </c>
      <c r="E36" s="450" t="s">
        <v>897</v>
      </c>
    </row>
    <row r="37" spans="1:5" ht="15">
      <c r="A37" s="69"/>
      <c r="B37" s="77" t="s">
        <v>208</v>
      </c>
      <c r="C37" s="68" t="s">
        <v>235</v>
      </c>
      <c r="D37" s="35">
        <v>12094</v>
      </c>
      <c r="E37" s="68" t="s">
        <v>21</v>
      </c>
    </row>
    <row r="38" spans="1:5" s="180" customFormat="1" ht="15">
      <c r="A38" s="575" t="s">
        <v>510</v>
      </c>
      <c r="B38" s="181" t="s">
        <v>509</v>
      </c>
      <c r="C38" s="179"/>
      <c r="D38" s="144">
        <f>SUM(D39:D40)</f>
        <v>0</v>
      </c>
      <c r="E38" s="179" t="s">
        <v>21</v>
      </c>
    </row>
    <row r="39" spans="1:5" ht="15">
      <c r="A39" s="69"/>
      <c r="B39" s="77" t="s">
        <v>207</v>
      </c>
      <c r="C39" s="68" t="s">
        <v>197</v>
      </c>
      <c r="D39" s="35">
        <v>-42000</v>
      </c>
      <c r="E39" s="68"/>
    </row>
    <row r="40" spans="1:5" ht="15">
      <c r="A40" s="69"/>
      <c r="B40" s="77" t="s">
        <v>209</v>
      </c>
      <c r="C40" s="61" t="s">
        <v>336</v>
      </c>
      <c r="D40" s="35">
        <v>42000</v>
      </c>
      <c r="E40" s="68" t="s">
        <v>852</v>
      </c>
    </row>
    <row r="41" spans="1:5" ht="47.25">
      <c r="A41" s="486" t="s">
        <v>794</v>
      </c>
      <c r="B41" s="78" t="s">
        <v>590</v>
      </c>
      <c r="C41" s="68"/>
      <c r="D41" s="140">
        <f>SUM(D42:D42)</f>
        <v>-24699</v>
      </c>
      <c r="E41" s="481" t="s">
        <v>795</v>
      </c>
    </row>
    <row r="42" spans="1:5" ht="15">
      <c r="A42" s="69"/>
      <c r="B42" s="77" t="s">
        <v>208</v>
      </c>
      <c r="C42" s="68" t="s">
        <v>235</v>
      </c>
      <c r="D42" s="35">
        <v>-24699</v>
      </c>
      <c r="E42" s="68"/>
    </row>
    <row r="43" spans="1:5" ht="30">
      <c r="A43" s="486" t="s">
        <v>797</v>
      </c>
      <c r="B43" s="78" t="s">
        <v>593</v>
      </c>
      <c r="C43" s="68"/>
      <c r="D43" s="140">
        <f>SUM(D44:D46)</f>
        <v>0</v>
      </c>
      <c r="E43" s="179" t="s">
        <v>21</v>
      </c>
    </row>
    <row r="44" spans="1:5" ht="15">
      <c r="A44" s="69"/>
      <c r="B44" s="77" t="s">
        <v>206</v>
      </c>
      <c r="C44" s="155" t="s">
        <v>196</v>
      </c>
      <c r="D44" s="35">
        <v>4233</v>
      </c>
      <c r="E44" s="68"/>
    </row>
    <row r="45" spans="1:5" ht="15">
      <c r="A45" s="69"/>
      <c r="B45" s="77" t="s">
        <v>207</v>
      </c>
      <c r="C45" s="68" t="s">
        <v>197</v>
      </c>
      <c r="D45" s="35">
        <v>-21528</v>
      </c>
      <c r="E45" s="68"/>
    </row>
    <row r="46" spans="1:5" ht="15">
      <c r="A46" s="69"/>
      <c r="B46" s="77" t="s">
        <v>208</v>
      </c>
      <c r="C46" s="165" t="s">
        <v>235</v>
      </c>
      <c r="D46" s="35">
        <v>17295</v>
      </c>
      <c r="E46" s="68"/>
    </row>
    <row r="47" spans="1:5" ht="15">
      <c r="A47" s="176" t="s">
        <v>350</v>
      </c>
      <c r="B47" s="78" t="s">
        <v>479</v>
      </c>
      <c r="C47" s="61"/>
      <c r="D47" s="144">
        <f>SUM(D48:D49)</f>
        <v>3267</v>
      </c>
      <c r="E47" s="61"/>
    </row>
    <row r="48" spans="1:5" ht="65.25" customHeight="1">
      <c r="A48" s="176"/>
      <c r="B48" s="77" t="s">
        <v>207</v>
      </c>
      <c r="C48" s="68" t="s">
        <v>197</v>
      </c>
      <c r="D48" s="175">
        <f>2067-19196</f>
        <v>-17129</v>
      </c>
      <c r="E48" s="179" t="s">
        <v>854</v>
      </c>
    </row>
    <row r="49" spans="1:5" ht="27.75" customHeight="1">
      <c r="A49" s="153"/>
      <c r="B49" s="77" t="s">
        <v>208</v>
      </c>
      <c r="C49" s="68" t="s">
        <v>235</v>
      </c>
      <c r="D49" s="35">
        <f>1200+19196</f>
        <v>20396</v>
      </c>
      <c r="E49" s="68" t="s">
        <v>903</v>
      </c>
    </row>
    <row r="50" spans="1:5" ht="15">
      <c r="A50" s="153" t="s">
        <v>350</v>
      </c>
      <c r="B50" s="78" t="s">
        <v>252</v>
      </c>
      <c r="C50" s="61" t="s">
        <v>554</v>
      </c>
      <c r="D50" s="540">
        <v>-4136</v>
      </c>
      <c r="E50" s="68" t="s">
        <v>836</v>
      </c>
    </row>
    <row r="51" spans="1:5" ht="30">
      <c r="A51" s="153" t="s">
        <v>254</v>
      </c>
      <c r="B51" s="78" t="s">
        <v>253</v>
      </c>
      <c r="C51" s="61" t="s">
        <v>554</v>
      </c>
      <c r="D51" s="541">
        <v>61160</v>
      </c>
      <c r="E51" s="68" t="s">
        <v>837</v>
      </c>
    </row>
    <row r="52" spans="1:5" ht="45">
      <c r="A52" s="486" t="s">
        <v>798</v>
      </c>
      <c r="B52" s="78" t="s">
        <v>379</v>
      </c>
      <c r="C52" s="482"/>
      <c r="D52" s="483">
        <f>D53</f>
        <v>-993852</v>
      </c>
      <c r="E52" s="450"/>
    </row>
    <row r="53" spans="1:5" ht="61.5" customHeight="1">
      <c r="A53" s="153"/>
      <c r="B53" s="142" t="s">
        <v>208</v>
      </c>
      <c r="C53" s="484" t="s">
        <v>235</v>
      </c>
      <c r="D53" s="471">
        <v>-993852</v>
      </c>
      <c r="E53" s="485" t="s">
        <v>799</v>
      </c>
    </row>
    <row r="54" spans="1:5" ht="45">
      <c r="A54" s="553" t="s">
        <v>866</v>
      </c>
      <c r="B54" s="488" t="s">
        <v>501</v>
      </c>
      <c r="C54" s="487"/>
      <c r="D54" s="198">
        <f>SUM(D55)</f>
        <v>-963700</v>
      </c>
      <c r="E54" s="68" t="s">
        <v>884</v>
      </c>
    </row>
    <row r="55" spans="1:5" ht="15">
      <c r="A55" s="576"/>
      <c r="B55" s="488" t="s">
        <v>208</v>
      </c>
      <c r="C55" s="489" t="s">
        <v>800</v>
      </c>
      <c r="D55" s="199">
        <f>-750000-213700</f>
        <v>-963700</v>
      </c>
      <c r="E55" s="68"/>
    </row>
    <row r="56" spans="1:5" ht="30">
      <c r="A56" s="576" t="s">
        <v>511</v>
      </c>
      <c r="B56" s="488" t="s">
        <v>596</v>
      </c>
      <c r="C56" s="489"/>
      <c r="D56" s="198">
        <f>SUM(D57)</f>
        <v>-355975</v>
      </c>
      <c r="E56" s="68" t="s">
        <v>885</v>
      </c>
    </row>
    <row r="57" spans="1:5" ht="15">
      <c r="A57" s="576"/>
      <c r="B57" s="488" t="s">
        <v>208</v>
      </c>
      <c r="C57" s="489" t="s">
        <v>800</v>
      </c>
      <c r="D57" s="554">
        <v>-355975</v>
      </c>
      <c r="E57" s="68"/>
    </row>
    <row r="58" spans="1:5" ht="15">
      <c r="A58" s="576" t="s">
        <v>512</v>
      </c>
      <c r="B58" s="488" t="s">
        <v>597</v>
      </c>
      <c r="C58" s="489"/>
      <c r="D58" s="198">
        <f>SUM(D59)</f>
        <v>2395</v>
      </c>
      <c r="E58" s="68" t="s">
        <v>886</v>
      </c>
    </row>
    <row r="59" spans="1:5" ht="15">
      <c r="A59" s="576"/>
      <c r="B59" s="488" t="s">
        <v>208</v>
      </c>
      <c r="C59" s="489" t="s">
        <v>800</v>
      </c>
      <c r="D59" s="199">
        <v>2395</v>
      </c>
      <c r="E59" s="68"/>
    </row>
    <row r="60" spans="1:5" ht="30">
      <c r="A60" s="576" t="s">
        <v>599</v>
      </c>
      <c r="B60" s="488" t="s">
        <v>598</v>
      </c>
      <c r="C60" s="489"/>
      <c r="D60" s="198">
        <f>SUM(D61)</f>
        <v>-639108</v>
      </c>
      <c r="E60" s="68" t="s">
        <v>865</v>
      </c>
    </row>
    <row r="61" spans="1:5" ht="15">
      <c r="A61" s="576"/>
      <c r="B61" s="488" t="s">
        <v>208</v>
      </c>
      <c r="C61" s="489" t="s">
        <v>800</v>
      </c>
      <c r="D61" s="199">
        <v>-639108</v>
      </c>
      <c r="E61" s="68"/>
    </row>
    <row r="62" spans="1:5" ht="15">
      <c r="A62" s="143" t="s">
        <v>530</v>
      </c>
      <c r="B62" s="141" t="s">
        <v>542</v>
      </c>
      <c r="C62" s="165"/>
      <c r="D62" s="198">
        <f>SUM(D63:D67)</f>
        <v>0</v>
      </c>
      <c r="E62" s="179" t="s">
        <v>21</v>
      </c>
    </row>
    <row r="63" spans="1:5" ht="15">
      <c r="A63" s="143"/>
      <c r="B63" s="77" t="s">
        <v>19</v>
      </c>
      <c r="C63" s="61" t="s">
        <v>7</v>
      </c>
      <c r="D63" s="199">
        <v>120</v>
      </c>
      <c r="E63" s="68" t="s">
        <v>746</v>
      </c>
    </row>
    <row r="64" spans="1:5" ht="30">
      <c r="A64" s="143"/>
      <c r="B64" s="77" t="s">
        <v>206</v>
      </c>
      <c r="C64" s="155" t="s">
        <v>196</v>
      </c>
      <c r="D64" s="199">
        <v>300</v>
      </c>
      <c r="E64" s="68" t="s">
        <v>742</v>
      </c>
    </row>
    <row r="65" spans="1:5" ht="29.25" customHeight="1">
      <c r="A65" s="143"/>
      <c r="B65" s="77" t="s">
        <v>207</v>
      </c>
      <c r="C65" s="68" t="s">
        <v>197</v>
      </c>
      <c r="D65" s="199">
        <v>-4720</v>
      </c>
      <c r="E65" s="68" t="s">
        <v>743</v>
      </c>
    </row>
    <row r="66" spans="1:5" ht="15">
      <c r="A66" s="143"/>
      <c r="B66" s="77" t="s">
        <v>209</v>
      </c>
      <c r="C66" s="61" t="s">
        <v>336</v>
      </c>
      <c r="D66" s="199">
        <v>2500</v>
      </c>
      <c r="E66" s="68" t="s">
        <v>744</v>
      </c>
    </row>
    <row r="67" spans="1:5" ht="15">
      <c r="A67" s="143"/>
      <c r="B67" s="77" t="s">
        <v>208</v>
      </c>
      <c r="C67" s="61" t="s">
        <v>202</v>
      </c>
      <c r="D67" s="199">
        <v>1800</v>
      </c>
      <c r="E67" s="68" t="s">
        <v>745</v>
      </c>
    </row>
    <row r="68" spans="1:5" ht="15">
      <c r="A68" s="70" t="s">
        <v>93</v>
      </c>
      <c r="B68" s="170" t="s">
        <v>31</v>
      </c>
      <c r="C68" s="70"/>
      <c r="D68" s="167">
        <f>SUM(D69:D74,D75,D77)</f>
        <v>518127</v>
      </c>
      <c r="E68" s="171"/>
    </row>
    <row r="69" spans="1:5" ht="30">
      <c r="A69" s="153" t="s">
        <v>364</v>
      </c>
      <c r="B69" s="172" t="s">
        <v>561</v>
      </c>
      <c r="C69" s="68"/>
      <c r="D69" s="35"/>
      <c r="E69" s="173"/>
    </row>
    <row r="70" spans="1:5" ht="15">
      <c r="A70" s="153"/>
      <c r="B70" s="172" t="s">
        <v>256</v>
      </c>
      <c r="C70" s="61" t="s">
        <v>554</v>
      </c>
      <c r="D70" s="541">
        <v>5041</v>
      </c>
      <c r="E70" s="68" t="s">
        <v>834</v>
      </c>
    </row>
    <row r="71" spans="1:5" ht="30">
      <c r="A71" s="153" t="s">
        <v>338</v>
      </c>
      <c r="B71" s="172"/>
      <c r="C71" s="61"/>
      <c r="D71" s="542"/>
      <c r="E71" s="173"/>
    </row>
    <row r="72" spans="1:5" ht="15">
      <c r="A72" s="153"/>
      <c r="B72" s="172" t="s">
        <v>257</v>
      </c>
      <c r="C72" s="61" t="s">
        <v>556</v>
      </c>
      <c r="D72" s="540">
        <v>19917</v>
      </c>
      <c r="E72" s="174" t="s">
        <v>838</v>
      </c>
    </row>
    <row r="73" spans="1:5" ht="30">
      <c r="A73" s="153"/>
      <c r="B73" s="172" t="s">
        <v>258</v>
      </c>
      <c r="C73" s="61" t="s">
        <v>554</v>
      </c>
      <c r="D73" s="542">
        <v>43247</v>
      </c>
      <c r="E73" s="68" t="s">
        <v>839</v>
      </c>
    </row>
    <row r="74" spans="1:5" ht="15">
      <c r="A74" s="153"/>
      <c r="B74" s="172" t="s">
        <v>258</v>
      </c>
      <c r="C74" s="61" t="s">
        <v>491</v>
      </c>
      <c r="D74" s="542">
        <v>385</v>
      </c>
      <c r="E74" s="68" t="s">
        <v>492</v>
      </c>
    </row>
    <row r="75" spans="1:5" ht="45">
      <c r="A75" s="472" t="s">
        <v>607</v>
      </c>
      <c r="B75" s="492" t="s">
        <v>606</v>
      </c>
      <c r="C75" s="490"/>
      <c r="D75" s="483">
        <f>D76</f>
        <v>425180</v>
      </c>
      <c r="E75" s="491"/>
    </row>
    <row r="76" spans="1:5" ht="60">
      <c r="A76" s="486"/>
      <c r="B76" s="473" t="s">
        <v>208</v>
      </c>
      <c r="C76" s="450" t="s">
        <v>235</v>
      </c>
      <c r="D76" s="470">
        <v>425180</v>
      </c>
      <c r="E76" s="450" t="s">
        <v>801</v>
      </c>
    </row>
    <row r="77" spans="1:5" ht="75">
      <c r="A77" s="472" t="s">
        <v>608</v>
      </c>
      <c r="B77" s="499" t="s">
        <v>381</v>
      </c>
      <c r="C77" s="487"/>
      <c r="D77" s="493">
        <f>D78</f>
        <v>24357</v>
      </c>
      <c r="E77" s="450"/>
    </row>
    <row r="78" spans="1:5" ht="15">
      <c r="A78" s="494"/>
      <c r="B78" s="142" t="s">
        <v>208</v>
      </c>
      <c r="C78" s="484" t="s">
        <v>235</v>
      </c>
      <c r="D78" s="495">
        <v>24357</v>
      </c>
      <c r="E78" s="489" t="s">
        <v>802</v>
      </c>
    </row>
    <row r="79" spans="1:5" ht="29.25">
      <c r="A79" s="70" t="s">
        <v>144</v>
      </c>
      <c r="B79" s="170" t="s">
        <v>12</v>
      </c>
      <c r="C79" s="70"/>
      <c r="D79" s="167">
        <f>SUM(D80:D80,D81:D86,D87,D89,D94,D97,D100,D108,D109,D111,D104)</f>
        <v>288306.65</v>
      </c>
      <c r="E79" s="68"/>
    </row>
    <row r="80" spans="1:5" ht="30">
      <c r="A80" s="153" t="s">
        <v>99</v>
      </c>
      <c r="B80" s="78" t="s">
        <v>98</v>
      </c>
      <c r="C80" s="61" t="s">
        <v>554</v>
      </c>
      <c r="D80" s="542">
        <v>140000</v>
      </c>
      <c r="E80" s="68" t="s">
        <v>840</v>
      </c>
    </row>
    <row r="81" spans="1:5" ht="15">
      <c r="A81" s="153" t="s">
        <v>101</v>
      </c>
      <c r="B81" s="78" t="s">
        <v>100</v>
      </c>
      <c r="C81" s="61" t="s">
        <v>557</v>
      </c>
      <c r="D81" s="543"/>
      <c r="E81" s="179"/>
    </row>
    <row r="82" spans="1:5" ht="110.25">
      <c r="A82" s="153" t="s">
        <v>357</v>
      </c>
      <c r="B82" s="78" t="s">
        <v>264</v>
      </c>
      <c r="C82" s="61" t="s">
        <v>556</v>
      </c>
      <c r="D82" s="540">
        <f>-22731-8522+11970+26+419+1515</f>
        <v>-17323</v>
      </c>
      <c r="E82" s="59" t="s">
        <v>835</v>
      </c>
    </row>
    <row r="83" spans="1:5" ht="15">
      <c r="A83" s="153"/>
      <c r="B83" s="78" t="s">
        <v>264</v>
      </c>
      <c r="C83" s="61" t="s">
        <v>554</v>
      </c>
      <c r="D83" s="541">
        <v>68289</v>
      </c>
      <c r="E83" s="68" t="s">
        <v>836</v>
      </c>
    </row>
    <row r="84" spans="1:5" ht="15">
      <c r="A84" s="153" t="s">
        <v>358</v>
      </c>
      <c r="B84" s="78" t="s">
        <v>265</v>
      </c>
      <c r="C84" s="61" t="s">
        <v>491</v>
      </c>
      <c r="D84" s="542">
        <v>1465</v>
      </c>
      <c r="E84" s="68" t="s">
        <v>492</v>
      </c>
    </row>
    <row r="85" spans="1:5" ht="15">
      <c r="A85" s="153" t="s">
        <v>451</v>
      </c>
      <c r="B85" s="78" t="s">
        <v>266</v>
      </c>
      <c r="C85" s="61" t="s">
        <v>554</v>
      </c>
      <c r="D85" s="540">
        <v>-5041</v>
      </c>
      <c r="E85" s="68" t="s">
        <v>836</v>
      </c>
    </row>
    <row r="86" spans="1:5" ht="30">
      <c r="A86" s="153"/>
      <c r="B86" s="78"/>
      <c r="C86" s="61" t="s">
        <v>556</v>
      </c>
      <c r="D86" s="542">
        <v>12393</v>
      </c>
      <c r="E86" s="68" t="s">
        <v>841</v>
      </c>
    </row>
    <row r="87" spans="1:5" ht="15">
      <c r="A87" s="153" t="s">
        <v>451</v>
      </c>
      <c r="B87" s="78" t="s">
        <v>266</v>
      </c>
      <c r="C87" s="61"/>
      <c r="D87" s="140">
        <f>D88</f>
        <v>7224</v>
      </c>
      <c r="E87" s="68"/>
    </row>
    <row r="88" spans="1:5" ht="31.5">
      <c r="A88" s="153"/>
      <c r="B88" s="77" t="s">
        <v>207</v>
      </c>
      <c r="C88" s="68" t="s">
        <v>197</v>
      </c>
      <c r="D88" s="175">
        <v>7224</v>
      </c>
      <c r="E88" s="547" t="s">
        <v>887</v>
      </c>
    </row>
    <row r="89" spans="1:5" ht="45">
      <c r="A89" s="153" t="s">
        <v>449</v>
      </c>
      <c r="B89" s="78" t="s">
        <v>267</v>
      </c>
      <c r="C89" s="61"/>
      <c r="D89" s="140">
        <f>SUM(D90:D93)</f>
        <v>-15702</v>
      </c>
      <c r="E89" s="68" t="s">
        <v>739</v>
      </c>
    </row>
    <row r="90" spans="1:5" ht="15">
      <c r="A90" s="153"/>
      <c r="B90" s="77" t="s">
        <v>207</v>
      </c>
      <c r="C90" s="68" t="s">
        <v>197</v>
      </c>
      <c r="D90" s="35">
        <v>-1200</v>
      </c>
      <c r="E90" s="68"/>
    </row>
    <row r="91" spans="1:5" ht="15">
      <c r="A91" s="153"/>
      <c r="B91" s="77" t="s">
        <v>209</v>
      </c>
      <c r="C91" s="61" t="s">
        <v>336</v>
      </c>
      <c r="D91" s="35">
        <v>-9502</v>
      </c>
      <c r="E91" s="68"/>
    </row>
    <row r="92" spans="1:5" ht="15">
      <c r="A92" s="153"/>
      <c r="B92" s="77" t="s">
        <v>337</v>
      </c>
      <c r="C92" s="68" t="s">
        <v>339</v>
      </c>
      <c r="D92" s="35">
        <v>-4000</v>
      </c>
      <c r="E92" s="68"/>
    </row>
    <row r="93" spans="1:5" ht="15">
      <c r="A93" s="153"/>
      <c r="B93" s="142" t="s">
        <v>208</v>
      </c>
      <c r="C93" s="68" t="s">
        <v>202</v>
      </c>
      <c r="D93" s="35">
        <v>-1000</v>
      </c>
      <c r="E93" s="68"/>
    </row>
    <row r="94" spans="1:5" ht="45">
      <c r="A94" s="532" t="s">
        <v>616</v>
      </c>
      <c r="B94" s="78" t="s">
        <v>268</v>
      </c>
      <c r="C94" s="68"/>
      <c r="D94" s="140">
        <f>SUM(D95:D96)</f>
        <v>0</v>
      </c>
      <c r="E94" s="68" t="s">
        <v>21</v>
      </c>
    </row>
    <row r="95" spans="1:5" ht="15">
      <c r="A95" s="153"/>
      <c r="B95" s="77" t="s">
        <v>207</v>
      </c>
      <c r="C95" s="68" t="s">
        <v>197</v>
      </c>
      <c r="D95" s="35">
        <v>-10000</v>
      </c>
      <c r="E95" s="68"/>
    </row>
    <row r="96" spans="1:5" ht="15">
      <c r="A96" s="153"/>
      <c r="B96" s="77" t="s">
        <v>486</v>
      </c>
      <c r="C96" s="61" t="s">
        <v>200</v>
      </c>
      <c r="D96" s="35">
        <v>10000</v>
      </c>
      <c r="E96" s="68"/>
    </row>
    <row r="97" spans="1:5" ht="15">
      <c r="A97" s="153" t="s">
        <v>549</v>
      </c>
      <c r="B97" s="78" t="s">
        <v>269</v>
      </c>
      <c r="C97" s="68"/>
      <c r="D97" s="140">
        <f>SUM(D98:D99)</f>
        <v>0</v>
      </c>
      <c r="E97" s="68" t="s">
        <v>21</v>
      </c>
    </row>
    <row r="98" spans="1:5" ht="15">
      <c r="A98" s="153"/>
      <c r="B98" s="77" t="s">
        <v>207</v>
      </c>
      <c r="C98" s="68" t="s">
        <v>197</v>
      </c>
      <c r="D98" s="175">
        <v>1000</v>
      </c>
      <c r="E98" s="68"/>
    </row>
    <row r="99" spans="1:5" ht="15">
      <c r="A99" s="153"/>
      <c r="B99" s="77" t="s">
        <v>486</v>
      </c>
      <c r="C99" s="61" t="s">
        <v>200</v>
      </c>
      <c r="D99" s="175">
        <v>-1000</v>
      </c>
      <c r="E99" s="68"/>
    </row>
    <row r="100" spans="1:5" ht="45">
      <c r="A100" s="153" t="s">
        <v>450</v>
      </c>
      <c r="B100" s="78" t="s">
        <v>461</v>
      </c>
      <c r="C100" s="68"/>
      <c r="D100" s="140">
        <f>SUM(D101:D103)</f>
        <v>39936</v>
      </c>
      <c r="E100" s="68" t="s">
        <v>914</v>
      </c>
    </row>
    <row r="101" spans="1:5" ht="126">
      <c r="A101" s="153"/>
      <c r="B101" s="77" t="s">
        <v>207</v>
      </c>
      <c r="C101" s="68" t="s">
        <v>197</v>
      </c>
      <c r="D101" s="35">
        <f>-29288+10962+720-9500+7260-29122-833</f>
        <v>-49801</v>
      </c>
      <c r="E101" s="59" t="s">
        <v>861</v>
      </c>
    </row>
    <row r="102" spans="1:5" ht="45">
      <c r="A102" s="153"/>
      <c r="B102" s="77" t="s">
        <v>209</v>
      </c>
      <c r="C102" s="61" t="s">
        <v>336</v>
      </c>
      <c r="D102" s="35">
        <f>824-720+1000</f>
        <v>1104</v>
      </c>
      <c r="E102" s="68" t="s">
        <v>863</v>
      </c>
    </row>
    <row r="103" spans="1:5" ht="141.75">
      <c r="A103" s="153"/>
      <c r="B103" s="142" t="s">
        <v>208</v>
      </c>
      <c r="C103" s="68" t="s">
        <v>202</v>
      </c>
      <c r="D103" s="35">
        <f>29720+22731+8521+894+29288+1479+9500-13500</f>
        <v>88633</v>
      </c>
      <c r="E103" s="59" t="s">
        <v>915</v>
      </c>
    </row>
    <row r="104" spans="1:5" ht="78" customHeight="1">
      <c r="A104" s="486" t="s">
        <v>626</v>
      </c>
      <c r="B104" s="498" t="s">
        <v>625</v>
      </c>
      <c r="C104" s="491"/>
      <c r="D104" s="493">
        <f>SUM(D105:D107)</f>
        <v>-3291</v>
      </c>
      <c r="E104" s="552" t="s">
        <v>896</v>
      </c>
    </row>
    <row r="105" spans="1:5" ht="15">
      <c r="A105" s="577"/>
      <c r="B105" s="488" t="s">
        <v>207</v>
      </c>
      <c r="C105" s="450" t="s">
        <v>197</v>
      </c>
      <c r="D105" s="555">
        <f>9797+300</f>
        <v>10097</v>
      </c>
      <c r="E105" s="496"/>
    </row>
    <row r="106" spans="1:5" ht="15">
      <c r="A106" s="577"/>
      <c r="B106" s="77" t="s">
        <v>209</v>
      </c>
      <c r="C106" s="61" t="s">
        <v>336</v>
      </c>
      <c r="D106" s="555">
        <v>6693</v>
      </c>
      <c r="E106" s="496"/>
    </row>
    <row r="107" spans="1:5" ht="54.75" customHeight="1">
      <c r="A107" s="488"/>
      <c r="B107" s="488" t="s">
        <v>208</v>
      </c>
      <c r="C107" s="489" t="s">
        <v>800</v>
      </c>
      <c r="D107" s="555">
        <f>-13542-6539</f>
        <v>-20081</v>
      </c>
      <c r="E107" s="497" t="s">
        <v>862</v>
      </c>
    </row>
    <row r="108" spans="1:5" ht="45">
      <c r="A108" s="176" t="s">
        <v>562</v>
      </c>
      <c r="B108" s="202" t="s">
        <v>550</v>
      </c>
      <c r="C108" s="179" t="s">
        <v>339</v>
      </c>
      <c r="D108" s="556">
        <v>26490</v>
      </c>
      <c r="E108" s="450" t="s">
        <v>843</v>
      </c>
    </row>
    <row r="109" spans="1:5" ht="63">
      <c r="A109" s="578" t="s">
        <v>622</v>
      </c>
      <c r="B109" s="181" t="s">
        <v>621</v>
      </c>
      <c r="C109" s="179"/>
      <c r="D109" s="144">
        <f>D110</f>
        <v>25396.65</v>
      </c>
      <c r="E109" s="68"/>
    </row>
    <row r="110" spans="1:5" ht="45">
      <c r="A110" s="578"/>
      <c r="B110" s="142" t="s">
        <v>208</v>
      </c>
      <c r="C110" s="165" t="s">
        <v>235</v>
      </c>
      <c r="D110" s="175">
        <f>10958+14258.65+180</f>
        <v>25396.65</v>
      </c>
      <c r="E110" s="68" t="s">
        <v>904</v>
      </c>
    </row>
    <row r="111" spans="1:5" ht="60">
      <c r="A111" s="176" t="s">
        <v>695</v>
      </c>
      <c r="B111" s="78" t="s">
        <v>694</v>
      </c>
      <c r="C111" s="179"/>
      <c r="D111" s="144">
        <f>SUM(D112:D112)</f>
        <v>8470</v>
      </c>
      <c r="E111" s="68" t="s">
        <v>905</v>
      </c>
    </row>
    <row r="112" spans="1:5" ht="15">
      <c r="A112" s="449"/>
      <c r="B112" s="77" t="s">
        <v>207</v>
      </c>
      <c r="C112" s="68" t="s">
        <v>197</v>
      </c>
      <c r="D112" s="470">
        <v>8470</v>
      </c>
      <c r="E112" s="68"/>
    </row>
    <row r="113" spans="1:5" ht="29.25">
      <c r="A113" s="168" t="s">
        <v>553</v>
      </c>
      <c r="B113" s="163" t="s">
        <v>545</v>
      </c>
      <c r="C113" s="68"/>
      <c r="D113" s="140">
        <f>SUM(D114:D118)</f>
        <v>0</v>
      </c>
      <c r="E113" s="68"/>
    </row>
    <row r="114" spans="1:5" ht="45">
      <c r="A114" s="153"/>
      <c r="B114" s="77" t="s">
        <v>18</v>
      </c>
      <c r="C114" s="61" t="s">
        <v>216</v>
      </c>
      <c r="D114" s="35">
        <v>-5193</v>
      </c>
      <c r="E114" s="68" t="s">
        <v>792</v>
      </c>
    </row>
    <row r="115" spans="1:5" ht="15">
      <c r="A115" s="153"/>
      <c r="B115" s="77" t="s">
        <v>19</v>
      </c>
      <c r="C115" s="61" t="s">
        <v>7</v>
      </c>
      <c r="D115" s="35">
        <v>-247</v>
      </c>
      <c r="E115" s="68"/>
    </row>
    <row r="116" spans="1:5" ht="15">
      <c r="A116" s="153"/>
      <c r="B116" s="77" t="s">
        <v>207</v>
      </c>
      <c r="C116" s="68" t="s">
        <v>197</v>
      </c>
      <c r="D116" s="35">
        <v>1918</v>
      </c>
      <c r="E116" s="68"/>
    </row>
    <row r="117" spans="1:5" ht="45">
      <c r="A117" s="153"/>
      <c r="B117" s="77" t="s">
        <v>209</v>
      </c>
      <c r="C117" s="61" t="s">
        <v>336</v>
      </c>
      <c r="D117" s="35">
        <v>2722</v>
      </c>
      <c r="E117" s="68" t="s">
        <v>793</v>
      </c>
    </row>
    <row r="118" spans="1:5" ht="15">
      <c r="A118" s="153"/>
      <c r="B118" s="77" t="s">
        <v>208</v>
      </c>
      <c r="C118" s="61" t="s">
        <v>202</v>
      </c>
      <c r="D118" s="35">
        <v>800</v>
      </c>
      <c r="E118" s="68"/>
    </row>
    <row r="119" spans="1:5" ht="15">
      <c r="A119" s="69" t="s">
        <v>107</v>
      </c>
      <c r="B119" s="170" t="s">
        <v>15</v>
      </c>
      <c r="C119" s="69"/>
      <c r="D119" s="167">
        <f>SUM(D120+D126+D130+D131+D132+D136+D144+D147+D148+D149+D153+D159+D163+D165+D167+D172+D175+D177+D181)</f>
        <v>-38800</v>
      </c>
      <c r="E119" s="68"/>
    </row>
    <row r="120" spans="1:5" ht="60">
      <c r="A120" s="68" t="s">
        <v>110</v>
      </c>
      <c r="B120" s="172" t="s">
        <v>272</v>
      </c>
      <c r="C120" s="69"/>
      <c r="D120" s="140">
        <f>SUM(D121:D125)</f>
        <v>3187</v>
      </c>
      <c r="E120" s="68" t="s">
        <v>791</v>
      </c>
    </row>
    <row r="121" spans="1:5" ht="15">
      <c r="A121" s="68"/>
      <c r="B121" s="77" t="s">
        <v>18</v>
      </c>
      <c r="C121" s="61" t="s">
        <v>216</v>
      </c>
      <c r="D121" s="470">
        <v>602</v>
      </c>
      <c r="E121" s="68"/>
    </row>
    <row r="122" spans="1:5" ht="15">
      <c r="A122" s="68"/>
      <c r="B122" s="77" t="s">
        <v>19</v>
      </c>
      <c r="C122" s="61" t="s">
        <v>7</v>
      </c>
      <c r="D122" s="470">
        <v>145</v>
      </c>
      <c r="E122" s="68"/>
    </row>
    <row r="123" spans="1:5" ht="15">
      <c r="A123" s="69"/>
      <c r="B123" s="77" t="s">
        <v>207</v>
      </c>
      <c r="C123" s="68" t="s">
        <v>197</v>
      </c>
      <c r="D123" s="470">
        <v>-3099</v>
      </c>
      <c r="E123" s="68"/>
    </row>
    <row r="124" spans="1:5" ht="15">
      <c r="A124" s="69"/>
      <c r="B124" s="77" t="s">
        <v>209</v>
      </c>
      <c r="C124" s="61" t="s">
        <v>336</v>
      </c>
      <c r="D124" s="470">
        <f>5539+5273</f>
        <v>10812</v>
      </c>
      <c r="E124" s="68"/>
    </row>
    <row r="125" spans="1:5" ht="15">
      <c r="A125" s="69"/>
      <c r="B125" s="77" t="s">
        <v>337</v>
      </c>
      <c r="C125" s="68" t="s">
        <v>339</v>
      </c>
      <c r="D125" s="470">
        <v>-5273</v>
      </c>
      <c r="E125" s="68"/>
    </row>
    <row r="126" spans="1:5" ht="30">
      <c r="A126" s="153" t="s">
        <v>111</v>
      </c>
      <c r="B126" s="172" t="s">
        <v>273</v>
      </c>
      <c r="C126" s="68"/>
      <c r="D126" s="502">
        <f>SUM(D127:D129)</f>
        <v>40740</v>
      </c>
      <c r="E126" s="464"/>
    </row>
    <row r="127" spans="1:5" ht="47.25" customHeight="1">
      <c r="A127" s="69"/>
      <c r="B127" s="77" t="s">
        <v>207</v>
      </c>
      <c r="C127" s="68" t="s">
        <v>197</v>
      </c>
      <c r="D127" s="470">
        <f>-186+200-695-14430</f>
        <v>-15111</v>
      </c>
      <c r="E127" s="68" t="s">
        <v>748</v>
      </c>
    </row>
    <row r="128" spans="1:5" ht="30">
      <c r="A128" s="69"/>
      <c r="B128" s="77" t="s">
        <v>209</v>
      </c>
      <c r="C128" s="61" t="s">
        <v>336</v>
      </c>
      <c r="D128" s="470">
        <v>16430</v>
      </c>
      <c r="E128" s="68" t="s">
        <v>790</v>
      </c>
    </row>
    <row r="129" spans="1:5" ht="76.5" customHeight="1">
      <c r="A129" s="69"/>
      <c r="B129" s="77" t="s">
        <v>337</v>
      </c>
      <c r="C129" s="68" t="s">
        <v>339</v>
      </c>
      <c r="D129" s="470">
        <f>-200+1621-2000+40000</f>
        <v>39421</v>
      </c>
      <c r="E129" s="68" t="s">
        <v>891</v>
      </c>
    </row>
    <row r="130" spans="1:5" ht="15">
      <c r="A130" s="154" t="s">
        <v>543</v>
      </c>
      <c r="B130" s="78" t="s">
        <v>544</v>
      </c>
      <c r="C130" s="61" t="s">
        <v>554</v>
      </c>
      <c r="D130" s="541">
        <v>-1839</v>
      </c>
      <c r="E130" s="68" t="s">
        <v>836</v>
      </c>
    </row>
    <row r="131" spans="1:5" ht="90">
      <c r="A131" s="69"/>
      <c r="B131" s="77"/>
      <c r="C131" s="61" t="s">
        <v>555</v>
      </c>
      <c r="D131" s="540">
        <f>-1621+3460-27970-1515</f>
        <v>-27646</v>
      </c>
      <c r="E131" s="68" t="s">
        <v>906</v>
      </c>
    </row>
    <row r="132" spans="1:5" ht="15">
      <c r="A132" s="154" t="s">
        <v>471</v>
      </c>
      <c r="B132" s="172" t="s">
        <v>274</v>
      </c>
      <c r="C132" s="61"/>
      <c r="D132" s="502">
        <f>SUM(D133:D135)</f>
        <v>243238</v>
      </c>
      <c r="E132" s="68"/>
    </row>
    <row r="133" spans="1:5" ht="60">
      <c r="A133" s="154"/>
      <c r="B133" s="77" t="s">
        <v>207</v>
      </c>
      <c r="C133" s="68" t="s">
        <v>197</v>
      </c>
      <c r="D133" s="470">
        <f>599+450+199+1990</f>
        <v>3238</v>
      </c>
      <c r="E133" s="68" t="s">
        <v>901</v>
      </c>
    </row>
    <row r="134" spans="1:5" ht="15">
      <c r="A134" s="154"/>
      <c r="B134" s="77" t="s">
        <v>209</v>
      </c>
      <c r="C134" s="61" t="s">
        <v>336</v>
      </c>
      <c r="D134" s="35"/>
      <c r="E134" s="68"/>
    </row>
    <row r="135" spans="1:5" ht="30">
      <c r="A135" s="154"/>
      <c r="B135" s="77" t="s">
        <v>208</v>
      </c>
      <c r="C135" s="61" t="s">
        <v>202</v>
      </c>
      <c r="D135" s="35">
        <v>240000</v>
      </c>
      <c r="E135" s="68" t="s">
        <v>907</v>
      </c>
    </row>
    <row r="136" spans="1:5" s="180" customFormat="1" ht="30">
      <c r="A136" s="176" t="s">
        <v>331</v>
      </c>
      <c r="B136" s="177" t="s">
        <v>275</v>
      </c>
      <c r="C136" s="178"/>
      <c r="D136" s="144">
        <f>SUM(D137:D143)</f>
        <v>6030</v>
      </c>
      <c r="E136" s="129" t="s">
        <v>704</v>
      </c>
    </row>
    <row r="137" spans="1:5" s="180" customFormat="1" ht="15">
      <c r="A137" s="176"/>
      <c r="B137" s="77" t="s">
        <v>18</v>
      </c>
      <c r="C137" s="61" t="s">
        <v>216</v>
      </c>
      <c r="D137" s="35">
        <v>1068</v>
      </c>
      <c r="E137" s="179"/>
    </row>
    <row r="138" spans="1:5" s="180" customFormat="1" ht="15">
      <c r="A138" s="176"/>
      <c r="B138" s="77" t="s">
        <v>19</v>
      </c>
      <c r="C138" s="61" t="s">
        <v>7</v>
      </c>
      <c r="D138" s="35">
        <v>257</v>
      </c>
      <c r="E138" s="179"/>
    </row>
    <row r="139" spans="1:5" s="180" customFormat="1" ht="15">
      <c r="A139" s="176"/>
      <c r="B139" s="77" t="s">
        <v>206</v>
      </c>
      <c r="C139" s="155" t="s">
        <v>196</v>
      </c>
      <c r="D139" s="175">
        <v>-374</v>
      </c>
      <c r="E139" s="179"/>
    </row>
    <row r="140" spans="1:5" ht="15">
      <c r="A140" s="154"/>
      <c r="B140" s="77" t="s">
        <v>207</v>
      </c>
      <c r="C140" s="68" t="s">
        <v>197</v>
      </c>
      <c r="D140" s="35">
        <f>-2737-1550</f>
        <v>-4287</v>
      </c>
      <c r="E140" s="152"/>
    </row>
    <row r="141" spans="1:5" ht="15">
      <c r="A141" s="154"/>
      <c r="B141" s="77" t="s">
        <v>209</v>
      </c>
      <c r="C141" s="61" t="s">
        <v>336</v>
      </c>
      <c r="D141" s="35">
        <f>7791+1550</f>
        <v>9341</v>
      </c>
      <c r="E141" s="152"/>
    </row>
    <row r="142" spans="1:5" ht="15">
      <c r="A142" s="154"/>
      <c r="B142" s="77" t="s">
        <v>475</v>
      </c>
      <c r="C142" s="61" t="s">
        <v>154</v>
      </c>
      <c r="D142" s="35">
        <v>-50</v>
      </c>
      <c r="E142" s="152"/>
    </row>
    <row r="143" spans="1:5" ht="15">
      <c r="A143" s="154"/>
      <c r="B143" s="77" t="s">
        <v>208</v>
      </c>
      <c r="C143" s="61" t="s">
        <v>202</v>
      </c>
      <c r="D143" s="35">
        <v>75</v>
      </c>
      <c r="E143" s="152"/>
    </row>
    <row r="144" spans="1:5" ht="45">
      <c r="A144" s="153" t="s">
        <v>513</v>
      </c>
      <c r="B144" s="177" t="s">
        <v>385</v>
      </c>
      <c r="C144" s="61"/>
      <c r="D144" s="140">
        <f>SUM(D145:D146)</f>
        <v>0</v>
      </c>
      <c r="E144" s="68" t="s">
        <v>21</v>
      </c>
    </row>
    <row r="145" spans="1:5" ht="15">
      <c r="A145" s="153"/>
      <c r="B145" s="77" t="s">
        <v>207</v>
      </c>
      <c r="C145" s="68" t="s">
        <v>197</v>
      </c>
      <c r="D145" s="35">
        <v>700</v>
      </c>
      <c r="E145" s="152"/>
    </row>
    <row r="146" spans="1:5" ht="15">
      <c r="A146" s="154"/>
      <c r="B146" s="77" t="s">
        <v>208</v>
      </c>
      <c r="C146" s="61" t="s">
        <v>202</v>
      </c>
      <c r="D146" s="35">
        <v>-700</v>
      </c>
      <c r="E146" s="152"/>
    </row>
    <row r="147" spans="1:5" ht="15">
      <c r="A147" s="153" t="s">
        <v>351</v>
      </c>
      <c r="B147" s="172" t="s">
        <v>113</v>
      </c>
      <c r="C147" s="61" t="s">
        <v>359</v>
      </c>
      <c r="D147" s="545">
        <v>-5118</v>
      </c>
      <c r="E147" s="129" t="s">
        <v>856</v>
      </c>
    </row>
    <row r="148" spans="1:5" ht="60">
      <c r="A148" s="153"/>
      <c r="B148" s="172"/>
      <c r="C148" s="61" t="s">
        <v>1</v>
      </c>
      <c r="D148" s="545">
        <f>-73000+13788</f>
        <v>-59212</v>
      </c>
      <c r="E148" s="129" t="s">
        <v>859</v>
      </c>
    </row>
    <row r="149" spans="1:5" ht="30">
      <c r="A149" s="472" t="s">
        <v>803</v>
      </c>
      <c r="B149" s="172" t="s">
        <v>632</v>
      </c>
      <c r="C149" s="61"/>
      <c r="D149" s="140">
        <f>SUM(D150:D152)</f>
        <v>-69800</v>
      </c>
      <c r="E149" s="68" t="s">
        <v>867</v>
      </c>
    </row>
    <row r="150" spans="1:5" ht="15">
      <c r="A150" s="472"/>
      <c r="B150" s="77" t="s">
        <v>19</v>
      </c>
      <c r="C150" s="61" t="s">
        <v>7</v>
      </c>
      <c r="D150" s="35">
        <v>120</v>
      </c>
      <c r="E150" s="68"/>
    </row>
    <row r="151" spans="1:5" ht="15">
      <c r="A151" s="153"/>
      <c r="B151" s="77" t="s">
        <v>207</v>
      </c>
      <c r="C151" s="68" t="s">
        <v>197</v>
      </c>
      <c r="D151" s="35">
        <v>2400</v>
      </c>
      <c r="E151" s="129"/>
    </row>
    <row r="152" spans="1:5" ht="15">
      <c r="A152" s="153"/>
      <c r="B152" s="77" t="s">
        <v>208</v>
      </c>
      <c r="C152" s="61" t="s">
        <v>202</v>
      </c>
      <c r="D152" s="35">
        <f>-2520-142800+73000</f>
        <v>-72320</v>
      </c>
      <c r="E152" s="206"/>
    </row>
    <row r="153" spans="1:5" ht="30.75" customHeight="1">
      <c r="A153" s="153" t="s">
        <v>428</v>
      </c>
      <c r="B153" s="141" t="s">
        <v>277</v>
      </c>
      <c r="C153" s="68"/>
      <c r="D153" s="140">
        <f>SUM(D154:D158)</f>
        <v>12780</v>
      </c>
      <c r="E153" s="129"/>
    </row>
    <row r="154" spans="1:5" ht="15">
      <c r="A154" s="579"/>
      <c r="B154" s="77" t="s">
        <v>18</v>
      </c>
      <c r="C154" s="61" t="s">
        <v>216</v>
      </c>
      <c r="D154" s="61">
        <v>1695</v>
      </c>
      <c r="E154" s="129"/>
    </row>
    <row r="155" spans="1:5" ht="15">
      <c r="A155" s="579"/>
      <c r="B155" s="77" t="s">
        <v>19</v>
      </c>
      <c r="C155" s="61" t="s">
        <v>7</v>
      </c>
      <c r="D155" s="61">
        <v>88</v>
      </c>
      <c r="E155" s="129"/>
    </row>
    <row r="156" spans="1:5" ht="60">
      <c r="A156" s="579"/>
      <c r="B156" s="77" t="s">
        <v>207</v>
      </c>
      <c r="C156" s="68" t="s">
        <v>197</v>
      </c>
      <c r="D156" s="61">
        <f>9600+1600-4783+977</f>
        <v>7394</v>
      </c>
      <c r="E156" s="129" t="s">
        <v>883</v>
      </c>
    </row>
    <row r="157" spans="1:5" ht="15">
      <c r="A157" s="579"/>
      <c r="B157" s="77" t="s">
        <v>209</v>
      </c>
      <c r="C157" s="61" t="s">
        <v>336</v>
      </c>
      <c r="D157" s="61">
        <v>3000</v>
      </c>
      <c r="E157" s="129"/>
    </row>
    <row r="158" spans="1:5" ht="60">
      <c r="A158" s="579"/>
      <c r="B158" s="77" t="s">
        <v>337</v>
      </c>
      <c r="C158" s="68" t="s">
        <v>339</v>
      </c>
      <c r="D158" s="61">
        <f>1000+580-977</f>
        <v>603</v>
      </c>
      <c r="E158" s="129" t="s">
        <v>908</v>
      </c>
    </row>
    <row r="159" spans="1:5" ht="29.25" customHeight="1">
      <c r="A159" s="153" t="s">
        <v>160</v>
      </c>
      <c r="B159" s="141" t="s">
        <v>278</v>
      </c>
      <c r="C159" s="68"/>
      <c r="D159" s="580">
        <f>SUM(D160:D162)</f>
        <v>0</v>
      </c>
      <c r="E159" s="129" t="s">
        <v>21</v>
      </c>
    </row>
    <row r="160" spans="1:5" ht="15">
      <c r="A160" s="579"/>
      <c r="B160" s="77" t="s">
        <v>18</v>
      </c>
      <c r="C160" s="61" t="s">
        <v>216</v>
      </c>
      <c r="D160" s="61">
        <v>900</v>
      </c>
      <c r="E160" s="129"/>
    </row>
    <row r="161" spans="1:5" ht="15">
      <c r="A161" s="579"/>
      <c r="B161" s="77" t="s">
        <v>19</v>
      </c>
      <c r="C161" s="61" t="s">
        <v>7</v>
      </c>
      <c r="D161" s="61">
        <v>45</v>
      </c>
      <c r="E161" s="129"/>
    </row>
    <row r="162" spans="1:5" ht="15">
      <c r="A162" s="579"/>
      <c r="B162" s="77" t="s">
        <v>207</v>
      </c>
      <c r="C162" s="68" t="s">
        <v>197</v>
      </c>
      <c r="D162" s="61">
        <v>-945</v>
      </c>
      <c r="E162" s="129"/>
    </row>
    <row r="163" spans="1:5" ht="45">
      <c r="A163" s="176" t="s">
        <v>638</v>
      </c>
      <c r="B163" s="141" t="s">
        <v>459</v>
      </c>
      <c r="C163" s="61"/>
      <c r="D163" s="580">
        <f>SUM(D164)</f>
        <v>-255222</v>
      </c>
      <c r="E163" s="129"/>
    </row>
    <row r="164" spans="1:5" ht="15">
      <c r="A164" s="153"/>
      <c r="B164" s="142" t="s">
        <v>208</v>
      </c>
      <c r="C164" s="165" t="s">
        <v>235</v>
      </c>
      <c r="D164" s="61">
        <v>-255222</v>
      </c>
      <c r="E164" s="519" t="s">
        <v>868</v>
      </c>
    </row>
    <row r="165" spans="1:5" ht="74.25" customHeight="1">
      <c r="A165" s="153" t="s">
        <v>430</v>
      </c>
      <c r="B165" s="141" t="s">
        <v>429</v>
      </c>
      <c r="C165" s="61"/>
      <c r="D165" s="580">
        <f>D166</f>
        <v>69399</v>
      </c>
      <c r="E165" s="129"/>
    </row>
    <row r="166" spans="1:5" ht="30">
      <c r="A166" s="579"/>
      <c r="B166" s="142" t="s">
        <v>208</v>
      </c>
      <c r="C166" s="165" t="s">
        <v>235</v>
      </c>
      <c r="D166" s="61">
        <v>69399</v>
      </c>
      <c r="E166" s="68" t="s">
        <v>909</v>
      </c>
    </row>
    <row r="167" spans="1:5" ht="45">
      <c r="A167" s="153" t="s">
        <v>458</v>
      </c>
      <c r="B167" s="78" t="s">
        <v>453</v>
      </c>
      <c r="C167" s="61"/>
      <c r="D167" s="140">
        <f>SUM(D168:D171)</f>
        <v>-10510</v>
      </c>
      <c r="E167" s="173" t="s">
        <v>705</v>
      </c>
    </row>
    <row r="168" spans="1:5" ht="15">
      <c r="A168" s="153"/>
      <c r="B168" s="77" t="s">
        <v>18</v>
      </c>
      <c r="C168" s="61" t="s">
        <v>216</v>
      </c>
      <c r="D168" s="35">
        <v>1872</v>
      </c>
      <c r="E168" s="173"/>
    </row>
    <row r="169" spans="1:5" ht="15">
      <c r="A169" s="153"/>
      <c r="B169" s="77" t="s">
        <v>19</v>
      </c>
      <c r="C169" s="61" t="s">
        <v>7</v>
      </c>
      <c r="D169" s="35">
        <v>347</v>
      </c>
      <c r="E169" s="173"/>
    </row>
    <row r="170" spans="1:5" ht="15">
      <c r="A170" s="153"/>
      <c r="B170" s="77" t="s">
        <v>207</v>
      </c>
      <c r="C170" s="68" t="s">
        <v>197</v>
      </c>
      <c r="D170" s="35">
        <v>-15729</v>
      </c>
      <c r="E170" s="173"/>
    </row>
    <row r="171" spans="1:5" ht="17.25" customHeight="1">
      <c r="A171" s="153"/>
      <c r="B171" s="77" t="s">
        <v>209</v>
      </c>
      <c r="C171" s="61" t="s">
        <v>336</v>
      </c>
      <c r="D171" s="35">
        <v>3000</v>
      </c>
      <c r="E171" s="173"/>
    </row>
    <row r="172" spans="1:5" ht="60">
      <c r="A172" s="154" t="s">
        <v>481</v>
      </c>
      <c r="B172" s="78" t="s">
        <v>480</v>
      </c>
      <c r="C172" s="68"/>
      <c r="D172" s="140">
        <f>D173+D174</f>
        <v>3388</v>
      </c>
      <c r="E172" s="173"/>
    </row>
    <row r="173" spans="1:5" ht="15">
      <c r="A173" s="154"/>
      <c r="B173" s="77" t="s">
        <v>209</v>
      </c>
      <c r="C173" s="61" t="s">
        <v>336</v>
      </c>
      <c r="D173" s="35">
        <v>540</v>
      </c>
      <c r="E173" s="173"/>
    </row>
    <row r="174" spans="1:5" ht="15">
      <c r="A174" s="154"/>
      <c r="B174" s="77" t="s">
        <v>208</v>
      </c>
      <c r="C174" s="61" t="s">
        <v>202</v>
      </c>
      <c r="D174" s="35">
        <f>1816+1032</f>
        <v>2848</v>
      </c>
      <c r="E174" s="173" t="s">
        <v>753</v>
      </c>
    </row>
    <row r="175" spans="1:5" ht="77.25" customHeight="1">
      <c r="A175" s="472" t="s">
        <v>804</v>
      </c>
      <c r="B175" s="463" t="s">
        <v>805</v>
      </c>
      <c r="C175" s="500"/>
      <c r="D175" s="483">
        <f>SUM(D176:D176)</f>
        <v>21385</v>
      </c>
      <c r="E175" s="485"/>
    </row>
    <row r="176" spans="1:5" ht="63" customHeight="1">
      <c r="A176" s="472"/>
      <c r="B176" s="488" t="s">
        <v>208</v>
      </c>
      <c r="C176" s="484" t="s">
        <v>235</v>
      </c>
      <c r="D176" s="471">
        <v>21385</v>
      </c>
      <c r="E176" s="485" t="s">
        <v>806</v>
      </c>
    </row>
    <row r="177" spans="1:5" ht="30">
      <c r="A177" s="153" t="s">
        <v>115</v>
      </c>
      <c r="B177" s="181" t="s">
        <v>518</v>
      </c>
      <c r="C177" s="68"/>
      <c r="D177" s="140">
        <f>SUM(D178:D180)</f>
        <v>-9600</v>
      </c>
      <c r="E177" s="173" t="s">
        <v>730</v>
      </c>
    </row>
    <row r="178" spans="1:5" ht="15">
      <c r="A178" s="153"/>
      <c r="B178" s="77" t="s">
        <v>18</v>
      </c>
      <c r="C178" s="61" t="s">
        <v>216</v>
      </c>
      <c r="D178" s="470">
        <v>856</v>
      </c>
      <c r="E178" s="173"/>
    </row>
    <row r="179" spans="1:5" ht="15">
      <c r="A179" s="153"/>
      <c r="B179" s="77" t="s">
        <v>19</v>
      </c>
      <c r="C179" s="61" t="s">
        <v>7</v>
      </c>
      <c r="D179" s="470">
        <v>43</v>
      </c>
      <c r="E179" s="173"/>
    </row>
    <row r="180" spans="1:5" ht="15">
      <c r="A180" s="153"/>
      <c r="B180" s="77" t="s">
        <v>207</v>
      </c>
      <c r="C180" s="68" t="s">
        <v>197</v>
      </c>
      <c r="D180" s="470">
        <f>-9600-899</f>
        <v>-10499</v>
      </c>
      <c r="E180" s="173"/>
    </row>
    <row r="181" spans="1:5" ht="29.25">
      <c r="A181" s="168" t="s">
        <v>117</v>
      </c>
      <c r="B181" s="181" t="s">
        <v>116</v>
      </c>
      <c r="C181" s="68"/>
      <c r="D181" s="502">
        <f>SUM(D182:D185)</f>
        <v>0</v>
      </c>
      <c r="E181" s="129" t="s">
        <v>21</v>
      </c>
    </row>
    <row r="182" spans="1:5" ht="15">
      <c r="A182" s="168"/>
      <c r="B182" s="77" t="s">
        <v>18</v>
      </c>
      <c r="C182" s="61" t="s">
        <v>216</v>
      </c>
      <c r="D182" s="470">
        <v>-6000</v>
      </c>
      <c r="E182" s="68"/>
    </row>
    <row r="183" spans="1:5" ht="15">
      <c r="A183" s="168"/>
      <c r="B183" s="77" t="s">
        <v>19</v>
      </c>
      <c r="C183" s="61" t="s">
        <v>7</v>
      </c>
      <c r="D183" s="470">
        <v>-1000</v>
      </c>
      <c r="E183" s="68"/>
    </row>
    <row r="184" spans="1:5" ht="27.75" customHeight="1">
      <c r="A184" s="168"/>
      <c r="B184" s="77" t="s">
        <v>207</v>
      </c>
      <c r="C184" s="68" t="s">
        <v>197</v>
      </c>
      <c r="D184" s="470">
        <v>11000</v>
      </c>
      <c r="E184" s="173"/>
    </row>
    <row r="185" spans="1:5" ht="15">
      <c r="A185" s="153"/>
      <c r="B185" s="77" t="s">
        <v>209</v>
      </c>
      <c r="C185" s="61" t="s">
        <v>336</v>
      </c>
      <c r="D185" s="470">
        <v>-4000</v>
      </c>
      <c r="E185" s="173"/>
    </row>
    <row r="186" spans="1:5" ht="15">
      <c r="A186" s="182" t="s">
        <v>8</v>
      </c>
      <c r="B186" s="170" t="s">
        <v>118</v>
      </c>
      <c r="C186" s="70" t="s">
        <v>8</v>
      </c>
      <c r="D186" s="167">
        <f>D187+D218+D221+D223+D229+D250+D269+D273</f>
        <v>195473</v>
      </c>
      <c r="E186" s="71"/>
    </row>
    <row r="187" spans="1:5" ht="15">
      <c r="A187" s="183" t="s">
        <v>10</v>
      </c>
      <c r="B187" s="172" t="s">
        <v>119</v>
      </c>
      <c r="C187" s="61"/>
      <c r="D187" s="45">
        <f>SUM(D188+D192+D197+D201+D205+D209+D213)</f>
        <v>15618</v>
      </c>
      <c r="E187" s="68"/>
    </row>
    <row r="188" spans="1:5" ht="15">
      <c r="A188" s="145" t="s">
        <v>416</v>
      </c>
      <c r="B188" s="146" t="s">
        <v>281</v>
      </c>
      <c r="C188" s="147"/>
      <c r="D188" s="140">
        <f>SUM(D189:D191)</f>
        <v>2895</v>
      </c>
      <c r="E188" s="68"/>
    </row>
    <row r="189" spans="1:5" ht="30">
      <c r="A189" s="145"/>
      <c r="B189" s="77" t="s">
        <v>207</v>
      </c>
      <c r="C189" s="68" t="s">
        <v>197</v>
      </c>
      <c r="D189" s="35">
        <v>-3800</v>
      </c>
      <c r="E189" s="68" t="s">
        <v>779</v>
      </c>
    </row>
    <row r="190" spans="1:5" ht="60">
      <c r="A190" s="145"/>
      <c r="B190" s="77" t="s">
        <v>209</v>
      </c>
      <c r="C190" s="61" t="s">
        <v>336</v>
      </c>
      <c r="D190" s="35">
        <f>2895+7300</f>
        <v>10195</v>
      </c>
      <c r="E190" s="71" t="s">
        <v>780</v>
      </c>
    </row>
    <row r="191" spans="1:5" ht="30">
      <c r="A191" s="145"/>
      <c r="B191" s="77" t="s">
        <v>208</v>
      </c>
      <c r="C191" s="61" t="s">
        <v>202</v>
      </c>
      <c r="D191" s="35">
        <v>-3500</v>
      </c>
      <c r="E191" s="71" t="s">
        <v>781</v>
      </c>
    </row>
    <row r="192" spans="1:5" ht="15">
      <c r="A192" s="145" t="s">
        <v>345</v>
      </c>
      <c r="B192" s="78" t="s">
        <v>282</v>
      </c>
      <c r="C192" s="61"/>
      <c r="D192" s="140">
        <f>SUM(D193:D196)</f>
        <v>1955</v>
      </c>
      <c r="E192" s="68"/>
    </row>
    <row r="193" spans="1:5" s="180" customFormat="1" ht="15">
      <c r="A193" s="201"/>
      <c r="B193" s="202" t="s">
        <v>18</v>
      </c>
      <c r="C193" s="178" t="s">
        <v>216</v>
      </c>
      <c r="D193" s="175">
        <v>-1200</v>
      </c>
      <c r="E193" s="179" t="s">
        <v>827</v>
      </c>
    </row>
    <row r="194" spans="1:5" ht="60">
      <c r="A194" s="145"/>
      <c r="B194" s="77" t="s">
        <v>207</v>
      </c>
      <c r="C194" s="61" t="s">
        <v>197</v>
      </c>
      <c r="D194" s="35">
        <v>4267</v>
      </c>
      <c r="E194" s="71" t="s">
        <v>828</v>
      </c>
    </row>
    <row r="195" spans="1:5" ht="45">
      <c r="A195" s="145"/>
      <c r="B195" s="77" t="s">
        <v>209</v>
      </c>
      <c r="C195" s="61" t="s">
        <v>336</v>
      </c>
      <c r="D195" s="35">
        <f>1955+5752</f>
        <v>7707</v>
      </c>
      <c r="E195" s="71" t="s">
        <v>826</v>
      </c>
    </row>
    <row r="196" spans="1:5" ht="30">
      <c r="A196" s="145"/>
      <c r="B196" s="77" t="s">
        <v>208</v>
      </c>
      <c r="C196" s="61" t="s">
        <v>202</v>
      </c>
      <c r="D196" s="35">
        <v>-8819</v>
      </c>
      <c r="E196" s="71" t="s">
        <v>825</v>
      </c>
    </row>
    <row r="197" spans="1:5" ht="15">
      <c r="A197" s="145" t="s">
        <v>414</v>
      </c>
      <c r="B197" s="78" t="s">
        <v>283</v>
      </c>
      <c r="C197" s="61"/>
      <c r="D197" s="140">
        <f>SUM(D198:D200)</f>
        <v>2028</v>
      </c>
      <c r="E197" s="68"/>
    </row>
    <row r="198" spans="1:5" ht="30">
      <c r="A198" s="145"/>
      <c r="B198" s="77" t="s">
        <v>207</v>
      </c>
      <c r="C198" s="68" t="s">
        <v>197</v>
      </c>
      <c r="D198" s="470">
        <v>-19966</v>
      </c>
      <c r="E198" s="71" t="s">
        <v>899</v>
      </c>
    </row>
    <row r="199" spans="1:5" ht="15">
      <c r="A199" s="145"/>
      <c r="B199" s="77" t="s">
        <v>209</v>
      </c>
      <c r="C199" s="61" t="s">
        <v>336</v>
      </c>
      <c r="D199" s="470">
        <v>2028</v>
      </c>
      <c r="E199" s="155" t="s">
        <v>699</v>
      </c>
    </row>
    <row r="200" spans="1:5" ht="30">
      <c r="A200" s="145"/>
      <c r="B200" s="77" t="s">
        <v>208</v>
      </c>
      <c r="C200" s="61" t="s">
        <v>235</v>
      </c>
      <c r="D200" s="470">
        <v>19966</v>
      </c>
      <c r="E200" s="71" t="s">
        <v>898</v>
      </c>
    </row>
    <row r="201" spans="1:5" s="148" customFormat="1" ht="15">
      <c r="A201" s="145" t="s">
        <v>214</v>
      </c>
      <c r="B201" s="78" t="s">
        <v>284</v>
      </c>
      <c r="C201" s="61"/>
      <c r="D201" s="140">
        <f>SUM(D202:D204)</f>
        <v>1936</v>
      </c>
      <c r="E201" s="68"/>
    </row>
    <row r="202" spans="1:5" s="148" customFormat="1" ht="45">
      <c r="A202" s="145"/>
      <c r="B202" s="77" t="s">
        <v>207</v>
      </c>
      <c r="C202" s="68" t="s">
        <v>197</v>
      </c>
      <c r="D202" s="35">
        <v>-5454</v>
      </c>
      <c r="E202" s="71" t="s">
        <v>889</v>
      </c>
    </row>
    <row r="203" spans="1:5" s="148" customFormat="1" ht="15">
      <c r="A203" s="145"/>
      <c r="B203" s="77" t="s">
        <v>209</v>
      </c>
      <c r="C203" s="61" t="s">
        <v>336</v>
      </c>
      <c r="D203" s="35">
        <f>1936+147</f>
        <v>2083</v>
      </c>
      <c r="E203" s="155" t="s">
        <v>698</v>
      </c>
    </row>
    <row r="204" spans="1:5" s="148" customFormat="1" ht="15">
      <c r="A204" s="145"/>
      <c r="B204" s="77" t="s">
        <v>208</v>
      </c>
      <c r="C204" s="61" t="s">
        <v>202</v>
      </c>
      <c r="D204" s="35">
        <v>5307</v>
      </c>
      <c r="E204" s="71" t="s">
        <v>890</v>
      </c>
    </row>
    <row r="205" spans="1:5" s="148" customFormat="1" ht="15">
      <c r="A205" s="145" t="s">
        <v>415</v>
      </c>
      <c r="B205" s="78" t="s">
        <v>285</v>
      </c>
      <c r="C205" s="61"/>
      <c r="D205" s="140">
        <f>SUM(D206:D208)</f>
        <v>3559</v>
      </c>
      <c r="E205" s="68"/>
    </row>
    <row r="206" spans="1:5" s="148" customFormat="1" ht="60">
      <c r="A206" s="145"/>
      <c r="B206" s="77" t="s">
        <v>207</v>
      </c>
      <c r="C206" s="68" t="s">
        <v>197</v>
      </c>
      <c r="D206" s="175">
        <f>2987+220</f>
        <v>3207</v>
      </c>
      <c r="E206" s="71" t="s">
        <v>910</v>
      </c>
    </row>
    <row r="207" spans="1:5" s="148" customFormat="1" ht="15">
      <c r="A207" s="145"/>
      <c r="B207" s="77" t="s">
        <v>209</v>
      </c>
      <c r="C207" s="61" t="s">
        <v>336</v>
      </c>
      <c r="D207" s="35">
        <f>572-138</f>
        <v>434</v>
      </c>
      <c r="E207" s="155" t="s">
        <v>700</v>
      </c>
    </row>
    <row r="208" spans="1:5" s="148" customFormat="1" ht="15">
      <c r="A208" s="145"/>
      <c r="B208" s="77" t="s">
        <v>208</v>
      </c>
      <c r="C208" s="61" t="s">
        <v>202</v>
      </c>
      <c r="D208" s="35">
        <v>-82</v>
      </c>
      <c r="E208" s="71" t="s">
        <v>760</v>
      </c>
    </row>
    <row r="209" spans="1:5" s="148" customFormat="1" ht="15">
      <c r="A209" s="145" t="s">
        <v>696</v>
      </c>
      <c r="B209" s="78" t="s">
        <v>286</v>
      </c>
      <c r="C209" s="61"/>
      <c r="D209" s="140">
        <f>SUM(D210:D212)</f>
        <v>1936</v>
      </c>
      <c r="E209" s="71"/>
    </row>
    <row r="210" spans="1:5" s="148" customFormat="1" ht="30">
      <c r="A210" s="145"/>
      <c r="B210" s="77" t="s">
        <v>207</v>
      </c>
      <c r="C210" s="68" t="s">
        <v>197</v>
      </c>
      <c r="D210" s="175">
        <v>3061</v>
      </c>
      <c r="E210" s="71" t="s">
        <v>778</v>
      </c>
    </row>
    <row r="211" spans="1:5" s="148" customFormat="1" ht="45">
      <c r="A211" s="145"/>
      <c r="B211" s="77" t="s">
        <v>209</v>
      </c>
      <c r="C211" s="61" t="s">
        <v>336</v>
      </c>
      <c r="D211" s="35">
        <f>1936+2934</f>
        <v>4870</v>
      </c>
      <c r="E211" s="71" t="s">
        <v>777</v>
      </c>
    </row>
    <row r="212" spans="1:5" s="148" customFormat="1" ht="15">
      <c r="A212" s="145"/>
      <c r="B212" s="77" t="s">
        <v>208</v>
      </c>
      <c r="C212" s="61" t="s">
        <v>202</v>
      </c>
      <c r="D212" s="35">
        <v>-5995</v>
      </c>
      <c r="E212" s="71" t="s">
        <v>771</v>
      </c>
    </row>
    <row r="213" spans="1:5" s="148" customFormat="1" ht="15">
      <c r="A213" s="145" t="s">
        <v>181</v>
      </c>
      <c r="B213" s="78" t="s">
        <v>287</v>
      </c>
      <c r="C213" s="61"/>
      <c r="D213" s="140">
        <f>SUM(D214:D217)</f>
        <v>1309</v>
      </c>
      <c r="E213" s="71"/>
    </row>
    <row r="214" spans="1:5" s="148" customFormat="1" ht="15">
      <c r="A214" s="145"/>
      <c r="B214" s="77" t="s">
        <v>19</v>
      </c>
      <c r="C214" s="61" t="s">
        <v>7</v>
      </c>
      <c r="D214" s="35">
        <v>250</v>
      </c>
      <c r="E214" s="71" t="s">
        <v>775</v>
      </c>
    </row>
    <row r="215" spans="1:5" s="148" customFormat="1" ht="15">
      <c r="A215" s="145"/>
      <c r="B215" s="77" t="s">
        <v>207</v>
      </c>
      <c r="C215" s="68" t="s">
        <v>197</v>
      </c>
      <c r="D215" s="175">
        <f>-250</f>
        <v>-250</v>
      </c>
      <c r="E215" s="71" t="s">
        <v>776</v>
      </c>
    </row>
    <row r="216" spans="1:5" s="148" customFormat="1" ht="15">
      <c r="A216" s="145"/>
      <c r="B216" s="77" t="s">
        <v>209</v>
      </c>
      <c r="C216" s="61" t="s">
        <v>336</v>
      </c>
      <c r="D216" s="35">
        <f>1309+613</f>
        <v>1922</v>
      </c>
      <c r="E216" s="155" t="s">
        <v>697</v>
      </c>
    </row>
    <row r="217" spans="1:5" s="148" customFormat="1" ht="15">
      <c r="A217" s="145"/>
      <c r="B217" s="77" t="s">
        <v>208</v>
      </c>
      <c r="C217" s="61" t="s">
        <v>202</v>
      </c>
      <c r="D217" s="35">
        <v>-613</v>
      </c>
      <c r="E217" s="71" t="s">
        <v>771</v>
      </c>
    </row>
    <row r="218" spans="1:5" s="148" customFormat="1" ht="45">
      <c r="A218" s="184" t="s">
        <v>460</v>
      </c>
      <c r="B218" s="78" t="s">
        <v>289</v>
      </c>
      <c r="C218" s="61"/>
      <c r="D218" s="502">
        <f>SUM(D219:D220)</f>
        <v>37000</v>
      </c>
      <c r="E218" s="68" t="s">
        <v>880</v>
      </c>
    </row>
    <row r="219" spans="1:5" s="148" customFormat="1" ht="45" customHeight="1">
      <c r="A219" s="184"/>
      <c r="B219" s="77" t="s">
        <v>484</v>
      </c>
      <c r="C219" s="68" t="s">
        <v>319</v>
      </c>
      <c r="D219" s="35">
        <v>25000</v>
      </c>
      <c r="E219" s="155"/>
    </row>
    <row r="220" spans="1:5" s="148" customFormat="1" ht="30">
      <c r="A220" s="145"/>
      <c r="B220" s="77" t="s">
        <v>337</v>
      </c>
      <c r="C220" s="68" t="s">
        <v>320</v>
      </c>
      <c r="D220" s="175">
        <v>12000</v>
      </c>
      <c r="E220" s="155"/>
    </row>
    <row r="221" spans="1:5" s="148" customFormat="1" ht="15">
      <c r="A221" s="532" t="s">
        <v>469</v>
      </c>
      <c r="B221" s="78" t="s">
        <v>478</v>
      </c>
      <c r="C221" s="68"/>
      <c r="D221" s="502">
        <f>D222</f>
        <v>-37000</v>
      </c>
      <c r="E221" s="468" t="s">
        <v>881</v>
      </c>
    </row>
    <row r="222" spans="1:5" s="148" customFormat="1" ht="15">
      <c r="A222" s="145"/>
      <c r="B222" s="77" t="s">
        <v>354</v>
      </c>
      <c r="C222" s="61" t="s">
        <v>355</v>
      </c>
      <c r="D222" s="175">
        <v>-37000</v>
      </c>
      <c r="E222" s="155"/>
    </row>
    <row r="223" spans="1:5" s="148" customFormat="1" ht="15">
      <c r="A223" s="183" t="s">
        <v>234</v>
      </c>
      <c r="B223" s="78" t="s">
        <v>126</v>
      </c>
      <c r="C223" s="61"/>
      <c r="D223" s="140">
        <f>SUM(D224:D228)</f>
        <v>18300</v>
      </c>
      <c r="E223" s="155"/>
    </row>
    <row r="224" spans="1:5" s="148" customFormat="1" ht="30">
      <c r="A224" s="183"/>
      <c r="B224" s="77" t="s">
        <v>18</v>
      </c>
      <c r="C224" s="61" t="s">
        <v>216</v>
      </c>
      <c r="D224" s="35">
        <v>-500</v>
      </c>
      <c r="E224" s="71" t="s">
        <v>829</v>
      </c>
    </row>
    <row r="225" spans="1:5" s="148" customFormat="1" ht="15">
      <c r="A225" s="183"/>
      <c r="B225" s="77" t="s">
        <v>19</v>
      </c>
      <c r="C225" s="61" t="s">
        <v>7</v>
      </c>
      <c r="D225" s="35">
        <v>-120</v>
      </c>
      <c r="E225" s="155"/>
    </row>
    <row r="226" spans="1:5" s="148" customFormat="1" ht="60">
      <c r="A226" s="183"/>
      <c r="B226" s="77" t="s">
        <v>207</v>
      </c>
      <c r="C226" s="61" t="s">
        <v>197</v>
      </c>
      <c r="D226" s="35">
        <f>250+5620</f>
        <v>5870</v>
      </c>
      <c r="E226" s="450" t="s">
        <v>768</v>
      </c>
    </row>
    <row r="227" spans="1:5" s="148" customFormat="1" ht="30">
      <c r="A227" s="183"/>
      <c r="B227" s="77" t="s">
        <v>209</v>
      </c>
      <c r="C227" s="61" t="s">
        <v>336</v>
      </c>
      <c r="D227" s="35">
        <f>5500+6500</f>
        <v>12000</v>
      </c>
      <c r="E227" s="476" t="s">
        <v>769</v>
      </c>
    </row>
    <row r="228" spans="1:5" s="148" customFormat="1" ht="45">
      <c r="A228" s="183"/>
      <c r="B228" s="77" t="s">
        <v>208</v>
      </c>
      <c r="C228" s="61" t="s">
        <v>202</v>
      </c>
      <c r="D228" s="35">
        <f>8550-7500</f>
        <v>1050</v>
      </c>
      <c r="E228" s="476" t="s">
        <v>754</v>
      </c>
    </row>
    <row r="229" spans="1:5" ht="15">
      <c r="A229" s="183" t="s">
        <v>143</v>
      </c>
      <c r="B229" s="172" t="s">
        <v>125</v>
      </c>
      <c r="C229" s="61"/>
      <c r="D229" s="45">
        <f>D230+D236+D240+D245</f>
        <v>59278</v>
      </c>
      <c r="E229" s="68"/>
    </row>
    <row r="230" spans="1:5" ht="15">
      <c r="A230" s="185" t="s">
        <v>127</v>
      </c>
      <c r="B230" s="172" t="s">
        <v>292</v>
      </c>
      <c r="C230" s="61"/>
      <c r="D230" s="140">
        <f>SUM(D231:D235)</f>
        <v>28975</v>
      </c>
      <c r="E230" s="71"/>
    </row>
    <row r="231" spans="1:5" ht="60">
      <c r="A231" s="185"/>
      <c r="B231" s="77" t="s">
        <v>207</v>
      </c>
      <c r="C231" s="68" t="s">
        <v>197</v>
      </c>
      <c r="D231" s="35">
        <f>1010+3951</f>
        <v>4961</v>
      </c>
      <c r="E231" s="68" t="s">
        <v>767</v>
      </c>
    </row>
    <row r="232" spans="1:5" ht="30">
      <c r="A232" s="183"/>
      <c r="B232" s="77" t="s">
        <v>209</v>
      </c>
      <c r="C232" s="61" t="s">
        <v>336</v>
      </c>
      <c r="D232" s="35">
        <f>17000+5889</f>
        <v>22889</v>
      </c>
      <c r="E232" s="71" t="s">
        <v>766</v>
      </c>
    </row>
    <row r="233" spans="1:5" ht="15">
      <c r="A233" s="183"/>
      <c r="B233" s="77" t="s">
        <v>486</v>
      </c>
      <c r="C233" s="68" t="s">
        <v>200</v>
      </c>
      <c r="D233" s="35">
        <v>280</v>
      </c>
      <c r="E233" s="155" t="s">
        <v>765</v>
      </c>
    </row>
    <row r="234" spans="1:5" ht="30">
      <c r="A234" s="183"/>
      <c r="B234" s="77" t="s">
        <v>475</v>
      </c>
      <c r="C234" s="61" t="s">
        <v>154</v>
      </c>
      <c r="D234" s="35">
        <v>-559</v>
      </c>
      <c r="E234" s="71" t="s">
        <v>764</v>
      </c>
    </row>
    <row r="235" spans="1:5" ht="45">
      <c r="A235" s="183"/>
      <c r="B235" s="77" t="s">
        <v>208</v>
      </c>
      <c r="C235" s="61" t="s">
        <v>202</v>
      </c>
      <c r="D235" s="35">
        <f>7965-6561</f>
        <v>1404</v>
      </c>
      <c r="E235" s="71" t="s">
        <v>763</v>
      </c>
    </row>
    <row r="236" spans="1:5" ht="15">
      <c r="A236" s="185" t="s">
        <v>708</v>
      </c>
      <c r="B236" s="78" t="s">
        <v>293</v>
      </c>
      <c r="C236" s="61"/>
      <c r="D236" s="140">
        <f>SUM(D237:D239)</f>
        <v>13534</v>
      </c>
      <c r="E236" s="581"/>
    </row>
    <row r="237" spans="1:5" ht="45.75" customHeight="1">
      <c r="A237" s="183"/>
      <c r="B237" s="77" t="s">
        <v>207</v>
      </c>
      <c r="C237" s="68" t="s">
        <v>197</v>
      </c>
      <c r="D237" s="35">
        <f>740+13436</f>
        <v>14176</v>
      </c>
      <c r="E237" s="71" t="s">
        <v>783</v>
      </c>
    </row>
    <row r="238" spans="1:5" ht="60">
      <c r="A238" s="183"/>
      <c r="B238" s="77" t="s">
        <v>209</v>
      </c>
      <c r="C238" s="61" t="s">
        <v>336</v>
      </c>
      <c r="D238" s="35">
        <f>2019+4275-1936</f>
        <v>4358</v>
      </c>
      <c r="E238" s="71" t="s">
        <v>782</v>
      </c>
    </row>
    <row r="239" spans="1:5" ht="34.5" customHeight="1">
      <c r="A239" s="183"/>
      <c r="B239" s="77" t="s">
        <v>208</v>
      </c>
      <c r="C239" s="61" t="s">
        <v>202</v>
      </c>
      <c r="D239" s="35">
        <f>6500-11500</f>
        <v>-5000</v>
      </c>
      <c r="E239" s="71" t="s">
        <v>752</v>
      </c>
    </row>
    <row r="240" spans="1:5" ht="15">
      <c r="A240" s="185" t="s">
        <v>128</v>
      </c>
      <c r="B240" s="78" t="s">
        <v>295</v>
      </c>
      <c r="C240" s="61"/>
      <c r="D240" s="140">
        <f>SUM(D241:D244)</f>
        <v>12683</v>
      </c>
      <c r="E240" s="450"/>
    </row>
    <row r="241" spans="1:5" ht="45">
      <c r="A241" s="185"/>
      <c r="B241" s="77" t="s">
        <v>207</v>
      </c>
      <c r="C241" s="61" t="s">
        <v>197</v>
      </c>
      <c r="D241" s="35">
        <f>1090+530</f>
        <v>1620</v>
      </c>
      <c r="E241" s="68" t="s">
        <v>892</v>
      </c>
    </row>
    <row r="242" spans="1:5" ht="15">
      <c r="A242" s="185"/>
      <c r="B242" s="77" t="s">
        <v>209</v>
      </c>
      <c r="C242" s="61" t="s">
        <v>336</v>
      </c>
      <c r="D242" s="35">
        <v>5000</v>
      </c>
      <c r="E242" s="155" t="s">
        <v>701</v>
      </c>
    </row>
    <row r="243" spans="1:5" ht="15">
      <c r="A243" s="185"/>
      <c r="B243" s="77" t="s">
        <v>475</v>
      </c>
      <c r="C243" s="61" t="s">
        <v>154</v>
      </c>
      <c r="D243" s="35">
        <v>199</v>
      </c>
      <c r="E243" s="61" t="s">
        <v>796</v>
      </c>
    </row>
    <row r="244" spans="1:5" ht="15">
      <c r="A244" s="185"/>
      <c r="B244" s="77" t="s">
        <v>208</v>
      </c>
      <c r="C244" s="61" t="s">
        <v>202</v>
      </c>
      <c r="D244" s="35">
        <f>6063-1289+1090</f>
        <v>5864</v>
      </c>
      <c r="E244" s="155" t="s">
        <v>702</v>
      </c>
    </row>
    <row r="245" spans="1:5" ht="15">
      <c r="A245" s="185" t="s">
        <v>690</v>
      </c>
      <c r="B245" s="78" t="s">
        <v>296</v>
      </c>
      <c r="C245" s="61"/>
      <c r="D245" s="140">
        <f>SUM(D246:D249)</f>
        <v>4086</v>
      </c>
      <c r="E245" s="155"/>
    </row>
    <row r="246" spans="1:5" ht="30">
      <c r="A246" s="185"/>
      <c r="B246" s="77" t="s">
        <v>207</v>
      </c>
      <c r="C246" s="61" t="s">
        <v>197</v>
      </c>
      <c r="D246" s="35">
        <v>1099</v>
      </c>
      <c r="E246" s="71" t="s">
        <v>713</v>
      </c>
    </row>
    <row r="247" spans="1:5" ht="45">
      <c r="A247" s="185"/>
      <c r="B247" s="77" t="s">
        <v>209</v>
      </c>
      <c r="C247" s="61" t="s">
        <v>336</v>
      </c>
      <c r="D247" s="35">
        <v>2436</v>
      </c>
      <c r="E247" s="71" t="s">
        <v>703</v>
      </c>
    </row>
    <row r="248" spans="1:5" ht="15">
      <c r="A248" s="185"/>
      <c r="B248" s="77" t="s">
        <v>761</v>
      </c>
      <c r="C248" s="233" t="s">
        <v>199</v>
      </c>
      <c r="D248" s="35">
        <v>-100</v>
      </c>
      <c r="E248" s="71" t="s">
        <v>737</v>
      </c>
    </row>
    <row r="249" spans="1:5" ht="30">
      <c r="A249" s="185"/>
      <c r="B249" s="77" t="s">
        <v>208</v>
      </c>
      <c r="C249" s="61" t="s">
        <v>202</v>
      </c>
      <c r="D249" s="35">
        <f>1266-615</f>
        <v>651</v>
      </c>
      <c r="E249" s="71" t="s">
        <v>762</v>
      </c>
    </row>
    <row r="250" spans="1:5" s="14" customFormat="1" ht="27.75" customHeight="1">
      <c r="A250" s="168" t="s">
        <v>131</v>
      </c>
      <c r="B250" s="78" t="s">
        <v>130</v>
      </c>
      <c r="C250" s="185"/>
      <c r="D250" s="46">
        <f>D251+D258+D262+D265</f>
        <v>22698</v>
      </c>
      <c r="E250" s="185"/>
    </row>
    <row r="251" spans="1:5" s="14" customFormat="1" ht="15">
      <c r="A251" s="153" t="s">
        <v>17</v>
      </c>
      <c r="B251" s="78" t="s">
        <v>302</v>
      </c>
      <c r="C251" s="185"/>
      <c r="D251" s="138">
        <f>SUM(D252:D257)</f>
        <v>13900</v>
      </c>
      <c r="E251" s="68"/>
    </row>
    <row r="252" spans="1:5" s="14" customFormat="1" ht="15">
      <c r="A252" s="153"/>
      <c r="B252" s="77" t="s">
        <v>18</v>
      </c>
      <c r="C252" s="61" t="s">
        <v>216</v>
      </c>
      <c r="D252" s="156">
        <v>5800</v>
      </c>
      <c r="E252" s="450" t="s">
        <v>882</v>
      </c>
    </row>
    <row r="253" spans="1:5" s="14" customFormat="1" ht="15">
      <c r="A253" s="153"/>
      <c r="B253" s="77" t="s">
        <v>19</v>
      </c>
      <c r="C253" s="61" t="s">
        <v>7</v>
      </c>
      <c r="D253" s="156">
        <v>1397</v>
      </c>
      <c r="E253" s="450"/>
    </row>
    <row r="254" spans="1:5" s="14" customFormat="1" ht="15">
      <c r="A254" s="153"/>
      <c r="B254" s="77" t="s">
        <v>206</v>
      </c>
      <c r="C254" s="155" t="s">
        <v>196</v>
      </c>
      <c r="D254" s="156">
        <v>830</v>
      </c>
      <c r="E254" s="450"/>
    </row>
    <row r="255" spans="1:5" s="14" customFormat="1" ht="60" customHeight="1">
      <c r="A255" s="153"/>
      <c r="B255" s="77" t="s">
        <v>207</v>
      </c>
      <c r="C255" s="61" t="s">
        <v>197</v>
      </c>
      <c r="D255" s="156">
        <f>-412-660-339-2965</f>
        <v>-4376</v>
      </c>
      <c r="E255" s="450" t="s">
        <v>784</v>
      </c>
    </row>
    <row r="256" spans="1:5" s="14" customFormat="1" ht="30">
      <c r="A256" s="153"/>
      <c r="B256" s="77" t="s">
        <v>209</v>
      </c>
      <c r="C256" s="61" t="s">
        <v>336</v>
      </c>
      <c r="D256" s="156">
        <v>9911</v>
      </c>
      <c r="E256" s="450" t="s">
        <v>869</v>
      </c>
    </row>
    <row r="257" spans="1:5" s="14" customFormat="1" ht="15">
      <c r="A257" s="153"/>
      <c r="B257" s="77" t="s">
        <v>208</v>
      </c>
      <c r="C257" s="61" t="s">
        <v>202</v>
      </c>
      <c r="D257" s="156">
        <v>338</v>
      </c>
      <c r="E257" s="179" t="s">
        <v>736</v>
      </c>
    </row>
    <row r="258" spans="1:5" s="14" customFormat="1" ht="30">
      <c r="A258" s="153" t="s">
        <v>132</v>
      </c>
      <c r="B258" s="78" t="s">
        <v>304</v>
      </c>
      <c r="C258" s="61"/>
      <c r="D258" s="138">
        <f>SUM(D259:D261)</f>
        <v>3500</v>
      </c>
      <c r="E258" s="450" t="s">
        <v>728</v>
      </c>
    </row>
    <row r="259" spans="1:5" s="14" customFormat="1" ht="30">
      <c r="A259" s="153"/>
      <c r="B259" s="77" t="s">
        <v>207</v>
      </c>
      <c r="C259" s="61" t="s">
        <v>197</v>
      </c>
      <c r="D259" s="477">
        <v>-56945</v>
      </c>
      <c r="E259" s="68" t="s">
        <v>773</v>
      </c>
    </row>
    <row r="260" spans="1:5" s="14" customFormat="1" ht="20.25" customHeight="1">
      <c r="A260" s="153"/>
      <c r="B260" s="77" t="s">
        <v>209</v>
      </c>
      <c r="C260" s="61" t="s">
        <v>336</v>
      </c>
      <c r="D260" s="477">
        <v>-1301</v>
      </c>
      <c r="E260" s="68" t="s">
        <v>774</v>
      </c>
    </row>
    <row r="261" spans="1:5" s="14" customFormat="1" ht="15">
      <c r="A261" s="153"/>
      <c r="B261" s="77" t="s">
        <v>208</v>
      </c>
      <c r="C261" s="61" t="s">
        <v>235</v>
      </c>
      <c r="D261" s="477">
        <v>61746</v>
      </c>
      <c r="E261" s="68"/>
    </row>
    <row r="262" spans="1:5" s="14" customFormat="1" ht="15">
      <c r="A262" s="153" t="s">
        <v>133</v>
      </c>
      <c r="B262" s="78" t="s">
        <v>305</v>
      </c>
      <c r="C262" s="61"/>
      <c r="D262" s="138">
        <f>SUM(D263:D264)</f>
        <v>5298</v>
      </c>
      <c r="E262" s="450" t="s">
        <v>712</v>
      </c>
    </row>
    <row r="263" spans="1:5" s="14" customFormat="1" ht="45">
      <c r="A263" s="153"/>
      <c r="B263" s="77" t="s">
        <v>207</v>
      </c>
      <c r="C263" s="61" t="s">
        <v>197</v>
      </c>
      <c r="D263" s="156">
        <f>-2594+4012</f>
        <v>1418</v>
      </c>
      <c r="E263" s="450" t="s">
        <v>911</v>
      </c>
    </row>
    <row r="264" spans="1:5" s="14" customFormat="1" ht="30">
      <c r="A264" s="153"/>
      <c r="B264" s="77" t="s">
        <v>208</v>
      </c>
      <c r="C264" s="61" t="s">
        <v>202</v>
      </c>
      <c r="D264" s="477">
        <f>1286+2594</f>
        <v>3880</v>
      </c>
      <c r="E264" s="68" t="s">
        <v>870</v>
      </c>
    </row>
    <row r="265" spans="1:5" s="14" customFormat="1" ht="15">
      <c r="A265" s="153" t="s">
        <v>134</v>
      </c>
      <c r="B265" s="78" t="s">
        <v>306</v>
      </c>
      <c r="C265" s="61"/>
      <c r="D265" s="138">
        <f>SUM(D266:D268)</f>
        <v>0</v>
      </c>
      <c r="E265" s="68" t="s">
        <v>21</v>
      </c>
    </row>
    <row r="266" spans="1:5" s="14" customFormat="1" ht="15">
      <c r="A266" s="153"/>
      <c r="B266" s="77" t="s">
        <v>207</v>
      </c>
      <c r="C266" s="61" t="s">
        <v>197</v>
      </c>
      <c r="D266" s="156">
        <v>1045</v>
      </c>
      <c r="E266" s="68" t="s">
        <v>735</v>
      </c>
    </row>
    <row r="267" spans="1:5" s="14" customFormat="1" ht="15">
      <c r="A267" s="153"/>
      <c r="B267" s="77" t="s">
        <v>209</v>
      </c>
      <c r="C267" s="61" t="s">
        <v>336</v>
      </c>
      <c r="D267" s="156">
        <v>-1135</v>
      </c>
      <c r="E267" s="68" t="s">
        <v>737</v>
      </c>
    </row>
    <row r="268" spans="1:5" s="14" customFormat="1" ht="15">
      <c r="A268" s="153"/>
      <c r="B268" s="77" t="s">
        <v>208</v>
      </c>
      <c r="C268" s="61" t="s">
        <v>202</v>
      </c>
      <c r="D268" s="156">
        <v>90</v>
      </c>
      <c r="E268" s="68" t="s">
        <v>736</v>
      </c>
    </row>
    <row r="269" spans="1:5" s="14" customFormat="1" ht="43.5">
      <c r="A269" s="168" t="s">
        <v>386</v>
      </c>
      <c r="B269" s="78" t="s">
        <v>456</v>
      </c>
      <c r="C269" s="61"/>
      <c r="D269" s="138">
        <f>SUM(D270:D272)</f>
        <v>-3680</v>
      </c>
      <c r="E269" s="71"/>
    </row>
    <row r="270" spans="1:5" s="14" customFormat="1" ht="60">
      <c r="A270" s="168"/>
      <c r="B270" s="77" t="s">
        <v>207</v>
      </c>
      <c r="C270" s="61" t="s">
        <v>197</v>
      </c>
      <c r="D270" s="156">
        <f>-3300-219-161</f>
        <v>-3680</v>
      </c>
      <c r="E270" s="71" t="s">
        <v>749</v>
      </c>
    </row>
    <row r="271" spans="1:5" s="14" customFormat="1" ht="15">
      <c r="A271" s="168"/>
      <c r="B271" s="77" t="s">
        <v>209</v>
      </c>
      <c r="C271" s="61" t="s">
        <v>336</v>
      </c>
      <c r="D271" s="156">
        <v>500</v>
      </c>
      <c r="E271" s="71"/>
    </row>
    <row r="272" spans="1:5" s="14" customFormat="1" ht="15">
      <c r="A272" s="168"/>
      <c r="B272" s="77" t="s">
        <v>208</v>
      </c>
      <c r="C272" s="61" t="s">
        <v>202</v>
      </c>
      <c r="D272" s="156">
        <v>-500</v>
      </c>
      <c r="E272" s="71" t="s">
        <v>751</v>
      </c>
    </row>
    <row r="273" spans="1:5" s="14" customFormat="1" ht="29.25">
      <c r="A273" s="168" t="s">
        <v>335</v>
      </c>
      <c r="B273" s="78" t="s">
        <v>135</v>
      </c>
      <c r="C273" s="61"/>
      <c r="D273" s="46">
        <f>SUM(D274+D277+D281+D285+D288+D290+D295+D300+D311+D305+D317+D320+D323+D330+D335)</f>
        <v>83259</v>
      </c>
      <c r="E273" s="71"/>
    </row>
    <row r="274" spans="1:5" s="14" customFormat="1" ht="30">
      <c r="A274" s="153" t="s">
        <v>473</v>
      </c>
      <c r="B274" s="78" t="s">
        <v>472</v>
      </c>
      <c r="C274" s="61"/>
      <c r="D274" s="138">
        <f>SUM(D275:D276)</f>
        <v>-2665</v>
      </c>
      <c r="E274" s="476" t="s">
        <v>808</v>
      </c>
    </row>
    <row r="275" spans="1:5" s="14" customFormat="1" ht="15">
      <c r="A275" s="168"/>
      <c r="B275" s="77" t="s">
        <v>19</v>
      </c>
      <c r="C275" s="61" t="s">
        <v>7</v>
      </c>
      <c r="D275" s="156">
        <v>0</v>
      </c>
      <c r="E275" s="71"/>
    </row>
    <row r="276" spans="1:5" s="14" customFormat="1" ht="15">
      <c r="A276" s="168"/>
      <c r="B276" s="77" t="s">
        <v>207</v>
      </c>
      <c r="C276" s="61" t="s">
        <v>197</v>
      </c>
      <c r="D276" s="156">
        <v>-2665</v>
      </c>
      <c r="E276" s="71"/>
    </row>
    <row r="277" spans="1:5" s="14" customFormat="1" ht="45">
      <c r="A277" s="154" t="s">
        <v>536</v>
      </c>
      <c r="B277" s="78" t="s">
        <v>535</v>
      </c>
      <c r="C277" s="61"/>
      <c r="D277" s="138">
        <f>SUM(D278:D280)</f>
        <v>51947</v>
      </c>
      <c r="E277" s="501" t="s">
        <v>809</v>
      </c>
    </row>
    <row r="278" spans="1:5" s="14" customFormat="1" ht="15">
      <c r="A278" s="153"/>
      <c r="B278" s="77" t="s">
        <v>18</v>
      </c>
      <c r="C278" s="61" t="s">
        <v>216</v>
      </c>
      <c r="D278" s="156">
        <v>30000</v>
      </c>
      <c r="E278" s="71"/>
    </row>
    <row r="279" spans="1:5" s="14" customFormat="1" ht="15">
      <c r="A279" s="153"/>
      <c r="B279" s="77" t="s">
        <v>19</v>
      </c>
      <c r="C279" s="61" t="s">
        <v>7</v>
      </c>
      <c r="D279" s="156">
        <v>7227</v>
      </c>
      <c r="E279" s="71"/>
    </row>
    <row r="280" spans="1:5" s="14" customFormat="1" ht="15">
      <c r="A280" s="153"/>
      <c r="B280" s="77" t="s">
        <v>337</v>
      </c>
      <c r="C280" s="68" t="s">
        <v>339</v>
      </c>
      <c r="D280" s="156">
        <v>14720</v>
      </c>
      <c r="E280" s="71"/>
    </row>
    <row r="281" spans="1:5" s="14" customFormat="1" ht="45">
      <c r="A281" s="486" t="s">
        <v>810</v>
      </c>
      <c r="B281" s="78" t="s">
        <v>645</v>
      </c>
      <c r="C281" s="68"/>
      <c r="D281" s="138">
        <f>SUM(D282:D284)</f>
        <v>0</v>
      </c>
      <c r="E281" s="71" t="s">
        <v>21</v>
      </c>
    </row>
    <row r="282" spans="1:5" s="14" customFormat="1" ht="15">
      <c r="A282" s="153"/>
      <c r="B282" s="77" t="s">
        <v>18</v>
      </c>
      <c r="C282" s="61" t="s">
        <v>216</v>
      </c>
      <c r="D282" s="156">
        <v>500</v>
      </c>
      <c r="E282" s="71"/>
    </row>
    <row r="283" spans="1:5" s="14" customFormat="1" ht="15">
      <c r="A283" s="153"/>
      <c r="B283" s="77" t="s">
        <v>19</v>
      </c>
      <c r="C283" s="61" t="s">
        <v>7</v>
      </c>
      <c r="D283" s="156">
        <v>54</v>
      </c>
      <c r="E283" s="71"/>
    </row>
    <row r="284" spans="1:5" s="14" customFormat="1" ht="15">
      <c r="A284" s="153"/>
      <c r="B284" s="77" t="s">
        <v>207</v>
      </c>
      <c r="C284" s="61" t="s">
        <v>197</v>
      </c>
      <c r="D284" s="156">
        <v>-554</v>
      </c>
      <c r="E284" s="71"/>
    </row>
    <row r="285" spans="1:5" s="14" customFormat="1" ht="60">
      <c r="A285" s="486" t="s">
        <v>750</v>
      </c>
      <c r="B285" s="463" t="s">
        <v>651</v>
      </c>
      <c r="C285" s="61"/>
      <c r="D285" s="138">
        <f>SUM(D286:D287)</f>
        <v>0</v>
      </c>
      <c r="E285" s="71" t="s">
        <v>21</v>
      </c>
    </row>
    <row r="286" spans="1:5" s="14" customFormat="1" ht="15">
      <c r="A286" s="153"/>
      <c r="B286" s="77" t="s">
        <v>207</v>
      </c>
      <c r="C286" s="61" t="s">
        <v>197</v>
      </c>
      <c r="D286" s="156">
        <v>-1080</v>
      </c>
      <c r="E286" s="71"/>
    </row>
    <row r="287" spans="1:5" s="14" customFormat="1" ht="15">
      <c r="A287" s="153"/>
      <c r="B287" s="77" t="s">
        <v>209</v>
      </c>
      <c r="C287" s="61" t="s">
        <v>336</v>
      </c>
      <c r="D287" s="156">
        <v>1080</v>
      </c>
      <c r="E287" s="71"/>
    </row>
    <row r="288" spans="1:5" s="14" customFormat="1" ht="90">
      <c r="A288" s="472" t="s">
        <v>811</v>
      </c>
      <c r="B288" s="463" t="s">
        <v>812</v>
      </c>
      <c r="C288" s="61"/>
      <c r="D288" s="138">
        <f>SUM(D289:D289)</f>
        <v>6540</v>
      </c>
      <c r="E288" s="71" t="s">
        <v>813</v>
      </c>
    </row>
    <row r="289" spans="1:5" s="14" customFormat="1" ht="15">
      <c r="A289" s="153"/>
      <c r="B289" s="77" t="s">
        <v>206</v>
      </c>
      <c r="C289" s="155" t="s">
        <v>196</v>
      </c>
      <c r="D289" s="156">
        <v>6540</v>
      </c>
      <c r="E289" s="71"/>
    </row>
    <row r="290" spans="1:5" s="14" customFormat="1" ht="45">
      <c r="A290" s="154" t="s">
        <v>388</v>
      </c>
      <c r="B290" s="78" t="s">
        <v>387</v>
      </c>
      <c r="C290" s="61"/>
      <c r="D290" s="138">
        <f>SUM(D291:D294)</f>
        <v>0</v>
      </c>
      <c r="E290" s="68" t="s">
        <v>21</v>
      </c>
    </row>
    <row r="291" spans="1:5" s="14" customFormat="1" ht="15">
      <c r="A291" s="154"/>
      <c r="B291" s="77" t="s">
        <v>206</v>
      </c>
      <c r="C291" s="155" t="s">
        <v>196</v>
      </c>
      <c r="D291" s="156">
        <v>108</v>
      </c>
      <c r="E291" s="68"/>
    </row>
    <row r="292" spans="1:5" s="14" customFormat="1" ht="15">
      <c r="A292" s="154"/>
      <c r="B292" s="77" t="s">
        <v>207</v>
      </c>
      <c r="C292" s="61" t="s">
        <v>197</v>
      </c>
      <c r="D292" s="156">
        <f>-20-4778</f>
        <v>-4798</v>
      </c>
      <c r="E292" s="71"/>
    </row>
    <row r="293" spans="1:5" s="14" customFormat="1" ht="15">
      <c r="A293" s="153"/>
      <c r="B293" s="77" t="s">
        <v>209</v>
      </c>
      <c r="C293" s="61" t="s">
        <v>336</v>
      </c>
      <c r="D293" s="156">
        <v>-88</v>
      </c>
      <c r="E293" s="71"/>
    </row>
    <row r="294" spans="1:5" s="14" customFormat="1" ht="15">
      <c r="A294" s="153"/>
      <c r="B294" s="77" t="s">
        <v>916</v>
      </c>
      <c r="C294" s="61" t="s">
        <v>917</v>
      </c>
      <c r="D294" s="156">
        <v>4778</v>
      </c>
      <c r="E294" s="71"/>
    </row>
    <row r="295" spans="1:5" s="14" customFormat="1" ht="75">
      <c r="A295" s="154" t="s">
        <v>412</v>
      </c>
      <c r="B295" s="463" t="s">
        <v>413</v>
      </c>
      <c r="C295" s="61"/>
      <c r="D295" s="140">
        <f>SUM(D296:D299)</f>
        <v>5843</v>
      </c>
      <c r="E295" s="155" t="s">
        <v>726</v>
      </c>
    </row>
    <row r="296" spans="1:5" s="14" customFormat="1" ht="15">
      <c r="A296" s="154"/>
      <c r="B296" s="77" t="s">
        <v>18</v>
      </c>
      <c r="C296" s="61" t="s">
        <v>216</v>
      </c>
      <c r="D296" s="470">
        <v>1233</v>
      </c>
      <c r="E296" s="150" t="s">
        <v>462</v>
      </c>
    </row>
    <row r="297" spans="1:5" s="14" customFormat="1" ht="15">
      <c r="A297" s="154"/>
      <c r="B297" s="77" t="s">
        <v>19</v>
      </c>
      <c r="C297" s="61" t="s">
        <v>7</v>
      </c>
      <c r="D297" s="35">
        <v>297</v>
      </c>
      <c r="E297" s="150"/>
    </row>
    <row r="298" spans="1:5" s="14" customFormat="1" ht="15">
      <c r="A298" s="154"/>
      <c r="B298" s="77" t="s">
        <v>207</v>
      </c>
      <c r="C298" s="61" t="s">
        <v>197</v>
      </c>
      <c r="D298" s="35">
        <v>2353</v>
      </c>
      <c r="E298" s="155"/>
    </row>
    <row r="299" spans="1:5" s="14" customFormat="1" ht="15">
      <c r="A299" s="154"/>
      <c r="B299" s="77" t="s">
        <v>209</v>
      </c>
      <c r="C299" s="61" t="s">
        <v>336</v>
      </c>
      <c r="D299" s="35">
        <v>1960</v>
      </c>
      <c r="E299" s="155"/>
    </row>
    <row r="300" spans="1:5" s="14" customFormat="1" ht="75">
      <c r="A300" s="472" t="s">
        <v>661</v>
      </c>
      <c r="B300" s="463" t="s">
        <v>418</v>
      </c>
      <c r="C300" s="474"/>
      <c r="D300" s="502">
        <f>SUM(D301:D304)</f>
        <v>-595</v>
      </c>
      <c r="E300" s="501" t="s">
        <v>814</v>
      </c>
    </row>
    <row r="301" spans="1:5" s="14" customFormat="1" ht="15">
      <c r="A301" s="475"/>
      <c r="B301" s="473" t="s">
        <v>206</v>
      </c>
      <c r="C301" s="155" t="s">
        <v>196</v>
      </c>
      <c r="D301" s="35">
        <v>-1618</v>
      </c>
      <c r="E301" s="155"/>
    </row>
    <row r="302" spans="1:5" s="14" customFormat="1" ht="15">
      <c r="A302" s="475"/>
      <c r="B302" s="77" t="s">
        <v>207</v>
      </c>
      <c r="C302" s="61" t="s">
        <v>197</v>
      </c>
      <c r="D302" s="35">
        <v>122</v>
      </c>
      <c r="E302" s="155"/>
    </row>
    <row r="303" spans="1:5" s="14" customFormat="1" ht="15">
      <c r="A303" s="475"/>
      <c r="B303" s="473" t="s">
        <v>209</v>
      </c>
      <c r="C303" s="61" t="s">
        <v>336</v>
      </c>
      <c r="D303" s="35">
        <v>325</v>
      </c>
      <c r="E303" s="155"/>
    </row>
    <row r="304" spans="1:5" s="14" customFormat="1" ht="15">
      <c r="A304" s="475"/>
      <c r="B304" s="473" t="s">
        <v>208</v>
      </c>
      <c r="C304" s="61" t="s">
        <v>202</v>
      </c>
      <c r="D304" s="35">
        <v>576</v>
      </c>
      <c r="E304" s="155"/>
    </row>
    <row r="305" spans="1:5" s="14" customFormat="1" ht="75">
      <c r="A305" s="503" t="s">
        <v>815</v>
      </c>
      <c r="B305" s="463" t="s">
        <v>482</v>
      </c>
      <c r="C305" s="61"/>
      <c r="D305" s="140">
        <f>SUM(D306:D310)</f>
        <v>1321</v>
      </c>
      <c r="E305" s="501" t="s">
        <v>846</v>
      </c>
    </row>
    <row r="306" spans="1:5" s="14" customFormat="1" ht="15">
      <c r="A306" s="154"/>
      <c r="B306" s="77" t="s">
        <v>18</v>
      </c>
      <c r="C306" s="61" t="s">
        <v>216</v>
      </c>
      <c r="D306" s="35">
        <v>2942</v>
      </c>
      <c r="E306" s="155"/>
    </row>
    <row r="307" spans="1:5" s="14" customFormat="1" ht="15">
      <c r="A307" s="154"/>
      <c r="B307" s="77" t="s">
        <v>19</v>
      </c>
      <c r="C307" s="61" t="s">
        <v>7</v>
      </c>
      <c r="D307" s="35">
        <v>1171</v>
      </c>
      <c r="E307" s="155"/>
    </row>
    <row r="308" spans="1:5" s="14" customFormat="1" ht="15">
      <c r="A308" s="154"/>
      <c r="B308" s="77" t="s">
        <v>206</v>
      </c>
      <c r="C308" s="155" t="s">
        <v>196</v>
      </c>
      <c r="D308" s="35">
        <v>150</v>
      </c>
      <c r="E308" s="155"/>
    </row>
    <row r="309" spans="1:5" s="14" customFormat="1" ht="15">
      <c r="A309" s="154"/>
      <c r="B309" s="77" t="s">
        <v>207</v>
      </c>
      <c r="C309" s="61" t="s">
        <v>197</v>
      </c>
      <c r="D309" s="35">
        <v>-2969</v>
      </c>
      <c r="E309" s="155"/>
    </row>
    <row r="310" spans="1:5" s="14" customFormat="1" ht="15">
      <c r="A310" s="154"/>
      <c r="B310" s="77" t="s">
        <v>209</v>
      </c>
      <c r="C310" s="61" t="s">
        <v>336</v>
      </c>
      <c r="D310" s="35">
        <v>27</v>
      </c>
      <c r="E310" s="155"/>
    </row>
    <row r="311" spans="1:5" s="14" customFormat="1" ht="75">
      <c r="A311" s="472" t="s">
        <v>488</v>
      </c>
      <c r="B311" s="78" t="s">
        <v>483</v>
      </c>
      <c r="C311" s="61"/>
      <c r="D311" s="140">
        <f>SUM(D312:D316)</f>
        <v>0</v>
      </c>
      <c r="E311" s="155" t="s">
        <v>21</v>
      </c>
    </row>
    <row r="312" spans="1:5" s="14" customFormat="1" ht="15">
      <c r="A312" s="582"/>
      <c r="B312" s="77" t="s">
        <v>18</v>
      </c>
      <c r="C312" s="61" t="s">
        <v>216</v>
      </c>
      <c r="D312" s="35">
        <v>268</v>
      </c>
      <c r="E312" s="155"/>
    </row>
    <row r="313" spans="1:5" s="14" customFormat="1" ht="15">
      <c r="A313" s="154"/>
      <c r="B313" s="77" t="s">
        <v>19</v>
      </c>
      <c r="C313" s="61" t="s">
        <v>7</v>
      </c>
      <c r="D313" s="35">
        <v>70</v>
      </c>
      <c r="E313" s="155"/>
    </row>
    <row r="314" spans="1:5" s="14" customFormat="1" ht="15">
      <c r="A314" s="154"/>
      <c r="B314" s="77" t="s">
        <v>206</v>
      </c>
      <c r="C314" s="155" t="s">
        <v>196</v>
      </c>
      <c r="D314" s="35">
        <v>1705</v>
      </c>
      <c r="E314" s="155"/>
    </row>
    <row r="315" spans="1:5" s="14" customFormat="1" ht="15">
      <c r="A315" s="154"/>
      <c r="B315" s="77" t="s">
        <v>207</v>
      </c>
      <c r="C315" s="61" t="s">
        <v>197</v>
      </c>
      <c r="D315" s="35">
        <v>-1614</v>
      </c>
      <c r="E315" s="155"/>
    </row>
    <row r="316" spans="1:5" s="14" customFormat="1" ht="15">
      <c r="A316" s="154"/>
      <c r="B316" s="77" t="s">
        <v>209</v>
      </c>
      <c r="C316" s="61" t="s">
        <v>336</v>
      </c>
      <c r="D316" s="35">
        <v>-429</v>
      </c>
      <c r="E316" s="155"/>
    </row>
    <row r="317" spans="1:5" s="14" customFormat="1" ht="30">
      <c r="A317" s="506" t="s">
        <v>494</v>
      </c>
      <c r="B317" s="78" t="s">
        <v>495</v>
      </c>
      <c r="C317" s="61"/>
      <c r="D317" s="140">
        <f>SUM(D318:D319)</f>
        <v>24167</v>
      </c>
      <c r="E317" s="501" t="s">
        <v>809</v>
      </c>
    </row>
    <row r="318" spans="1:5" s="14" customFormat="1" ht="15">
      <c r="A318" s="154"/>
      <c r="B318" s="77" t="s">
        <v>18</v>
      </c>
      <c r="C318" s="61" t="s">
        <v>216</v>
      </c>
      <c r="D318" s="151">
        <v>19475</v>
      </c>
      <c r="E318" s="155"/>
    </row>
    <row r="319" spans="1:5" s="14" customFormat="1" ht="15">
      <c r="A319" s="154"/>
      <c r="B319" s="77" t="s">
        <v>19</v>
      </c>
      <c r="C319" s="61" t="s">
        <v>7</v>
      </c>
      <c r="D319" s="151">
        <v>4692</v>
      </c>
      <c r="E319" s="155"/>
    </row>
    <row r="320" spans="1:5" s="14" customFormat="1" ht="75">
      <c r="A320" s="154" t="s">
        <v>489</v>
      </c>
      <c r="B320" s="78" t="s">
        <v>490</v>
      </c>
      <c r="C320" s="61"/>
      <c r="D320" s="493">
        <f>SUM(D321:D322)</f>
        <v>1035</v>
      </c>
      <c r="E320" s="501" t="s">
        <v>857</v>
      </c>
    </row>
    <row r="321" spans="1:5" s="14" customFormat="1" ht="15">
      <c r="A321" s="154"/>
      <c r="B321" s="77" t="s">
        <v>206</v>
      </c>
      <c r="C321" s="155" t="s">
        <v>196</v>
      </c>
      <c r="D321" s="151">
        <v>881</v>
      </c>
      <c r="E321" s="155"/>
    </row>
    <row r="322" spans="1:5" s="14" customFormat="1" ht="15">
      <c r="A322" s="154"/>
      <c r="B322" s="77" t="s">
        <v>209</v>
      </c>
      <c r="C322" s="61" t="s">
        <v>336</v>
      </c>
      <c r="D322" s="151">
        <v>154</v>
      </c>
      <c r="E322" s="155"/>
    </row>
    <row r="323" spans="1:5" s="14" customFormat="1" ht="94.5">
      <c r="A323" s="505" t="s">
        <v>816</v>
      </c>
      <c r="B323" s="583" t="s">
        <v>499</v>
      </c>
      <c r="C323" s="61"/>
      <c r="D323" s="507">
        <f>SUM(D324:D329)</f>
        <v>-4803</v>
      </c>
      <c r="E323" s="501" t="s">
        <v>847</v>
      </c>
    </row>
    <row r="324" spans="1:5" s="14" customFormat="1" ht="15.75">
      <c r="A324" s="505"/>
      <c r="B324" s="77" t="s">
        <v>18</v>
      </c>
      <c r="C324" s="61" t="s">
        <v>216</v>
      </c>
      <c r="D324" s="207">
        <v>-653</v>
      </c>
      <c r="E324" s="68"/>
    </row>
    <row r="325" spans="1:5" s="14" customFormat="1" ht="15.75">
      <c r="A325" s="505"/>
      <c r="B325" s="77" t="s">
        <v>19</v>
      </c>
      <c r="C325" s="61" t="s">
        <v>7</v>
      </c>
      <c r="D325" s="207">
        <v>-173</v>
      </c>
      <c r="E325" s="68"/>
    </row>
    <row r="326" spans="1:5" s="14" customFormat="1" ht="15">
      <c r="A326" s="154"/>
      <c r="B326" s="77" t="s">
        <v>206</v>
      </c>
      <c r="C326" s="155" t="s">
        <v>196</v>
      </c>
      <c r="D326" s="207">
        <v>-7226</v>
      </c>
      <c r="E326" s="68"/>
    </row>
    <row r="327" spans="1:5" s="14" customFormat="1" ht="15">
      <c r="A327" s="154"/>
      <c r="B327" s="77" t="s">
        <v>207</v>
      </c>
      <c r="C327" s="61" t="s">
        <v>197</v>
      </c>
      <c r="D327" s="151">
        <v>2018</v>
      </c>
      <c r="E327" s="155"/>
    </row>
    <row r="328" spans="1:5" s="14" customFormat="1" ht="15">
      <c r="A328" s="154"/>
      <c r="B328" s="77" t="s">
        <v>209</v>
      </c>
      <c r="C328" s="61" t="s">
        <v>336</v>
      </c>
      <c r="D328" s="151">
        <v>463</v>
      </c>
      <c r="E328" s="155"/>
    </row>
    <row r="329" spans="1:5" s="14" customFormat="1" ht="15">
      <c r="A329" s="154"/>
      <c r="B329" s="77" t="s">
        <v>208</v>
      </c>
      <c r="C329" s="165" t="s">
        <v>235</v>
      </c>
      <c r="D329" s="151">
        <v>768</v>
      </c>
      <c r="E329" s="155"/>
    </row>
    <row r="330" spans="1:5" s="14" customFormat="1" ht="90">
      <c r="A330" s="154" t="s">
        <v>527</v>
      </c>
      <c r="B330" s="78" t="s">
        <v>526</v>
      </c>
      <c r="C330" s="61"/>
      <c r="D330" s="189">
        <f>SUM(D331:D334)</f>
        <v>469</v>
      </c>
      <c r="E330" s="501" t="s">
        <v>848</v>
      </c>
    </row>
    <row r="331" spans="1:5" s="14" customFormat="1" ht="15">
      <c r="A331" s="154"/>
      <c r="B331" s="77" t="s">
        <v>18</v>
      </c>
      <c r="C331" s="61" t="s">
        <v>216</v>
      </c>
      <c r="D331" s="207">
        <v>709</v>
      </c>
      <c r="E331" s="155"/>
    </row>
    <row r="332" spans="1:5" s="14" customFormat="1" ht="15">
      <c r="A332" s="154"/>
      <c r="B332" s="77" t="s">
        <v>19</v>
      </c>
      <c r="C332" s="61" t="s">
        <v>7</v>
      </c>
      <c r="D332" s="207">
        <v>185</v>
      </c>
      <c r="E332" s="155"/>
    </row>
    <row r="333" spans="1:5" s="14" customFormat="1" ht="15">
      <c r="A333" s="154"/>
      <c r="B333" s="77" t="s">
        <v>207</v>
      </c>
      <c r="C333" s="61" t="s">
        <v>197</v>
      </c>
      <c r="D333" s="207">
        <v>-300</v>
      </c>
      <c r="E333" s="155"/>
    </row>
    <row r="334" spans="1:5" s="14" customFormat="1" ht="15">
      <c r="A334" s="154"/>
      <c r="B334" s="77" t="s">
        <v>209</v>
      </c>
      <c r="C334" s="61" t="s">
        <v>336</v>
      </c>
      <c r="D334" s="207">
        <v>-125</v>
      </c>
      <c r="E334" s="155"/>
    </row>
    <row r="335" spans="1:5" s="14" customFormat="1" ht="90">
      <c r="A335" s="154" t="s">
        <v>541</v>
      </c>
      <c r="B335" s="78" t="s">
        <v>540</v>
      </c>
      <c r="C335" s="61"/>
      <c r="D335" s="140">
        <f>SUM(D336:D337)</f>
        <v>0</v>
      </c>
      <c r="E335" s="155" t="s">
        <v>21</v>
      </c>
    </row>
    <row r="336" spans="1:5" s="14" customFormat="1" ht="15">
      <c r="A336" s="154"/>
      <c r="B336" s="77" t="s">
        <v>207</v>
      </c>
      <c r="C336" s="61" t="s">
        <v>197</v>
      </c>
      <c r="D336" s="35">
        <v>-439</v>
      </c>
      <c r="E336" s="155"/>
    </row>
    <row r="337" spans="1:5" s="14" customFormat="1" ht="15">
      <c r="A337" s="154"/>
      <c r="B337" s="77" t="s">
        <v>209</v>
      </c>
      <c r="C337" s="61" t="s">
        <v>336</v>
      </c>
      <c r="D337" s="35">
        <v>439</v>
      </c>
      <c r="E337" s="155"/>
    </row>
    <row r="338" spans="1:5" ht="15">
      <c r="A338" s="182" t="s">
        <v>136</v>
      </c>
      <c r="B338" s="170" t="s">
        <v>16</v>
      </c>
      <c r="C338" s="69" t="s">
        <v>136</v>
      </c>
      <c r="D338" s="169">
        <f>SUM(D341+D351+D352+D339,D344,D353,D357,D362,D366,D368,D373)</f>
        <v>114568</v>
      </c>
      <c r="E338" s="61"/>
    </row>
    <row r="339" spans="1:5" ht="15" hidden="1">
      <c r="A339" s="186" t="s">
        <v>417</v>
      </c>
      <c r="B339" s="78" t="s">
        <v>311</v>
      </c>
      <c r="C339" s="61"/>
      <c r="D339" s="140">
        <f>SUM(D340:D340)</f>
        <v>0</v>
      </c>
      <c r="E339" s="173"/>
    </row>
    <row r="340" spans="1:5" ht="15" hidden="1">
      <c r="A340" s="186"/>
      <c r="B340" s="77" t="s">
        <v>207</v>
      </c>
      <c r="C340" s="68" t="s">
        <v>197</v>
      </c>
      <c r="D340" s="187"/>
      <c r="E340" s="68"/>
    </row>
    <row r="341" spans="1:5" ht="30">
      <c r="A341" s="153" t="s">
        <v>230</v>
      </c>
      <c r="B341" s="78" t="s">
        <v>502</v>
      </c>
      <c r="C341" s="68"/>
      <c r="D341" s="140">
        <f>SUM(D342:D343)</f>
        <v>-223</v>
      </c>
      <c r="E341" s="68"/>
    </row>
    <row r="342" spans="1:5" ht="30">
      <c r="A342" s="186"/>
      <c r="B342" s="77" t="s">
        <v>209</v>
      </c>
      <c r="C342" s="61" t="s">
        <v>336</v>
      </c>
      <c r="D342" s="187">
        <v>777</v>
      </c>
      <c r="E342" s="68" t="s">
        <v>729</v>
      </c>
    </row>
    <row r="343" spans="1:5" ht="15">
      <c r="A343" s="186"/>
      <c r="B343" s="77" t="s">
        <v>208</v>
      </c>
      <c r="C343" s="61" t="s">
        <v>202</v>
      </c>
      <c r="D343" s="187">
        <v>-1000</v>
      </c>
      <c r="E343" s="68" t="s">
        <v>771</v>
      </c>
    </row>
    <row r="344" spans="1:5" ht="15">
      <c r="A344" s="153" t="s">
        <v>141</v>
      </c>
      <c r="B344" s="78" t="s">
        <v>311</v>
      </c>
      <c r="C344" s="68"/>
      <c r="D344" s="149">
        <f>SUM(D345:D350)</f>
        <v>16400</v>
      </c>
      <c r="E344" s="68"/>
    </row>
    <row r="345" spans="1:5" ht="15">
      <c r="A345" s="153"/>
      <c r="B345" s="77" t="s">
        <v>19</v>
      </c>
      <c r="C345" s="61" t="s">
        <v>7</v>
      </c>
      <c r="D345" s="35">
        <v>-24</v>
      </c>
      <c r="E345" s="68"/>
    </row>
    <row r="346" spans="1:5" ht="15">
      <c r="A346" s="153"/>
      <c r="B346" s="77" t="s">
        <v>206</v>
      </c>
      <c r="C346" s="155" t="s">
        <v>196</v>
      </c>
      <c r="D346" s="35"/>
      <c r="E346" s="68"/>
    </row>
    <row r="347" spans="1:5" ht="90">
      <c r="A347" s="153"/>
      <c r="B347" s="77" t="s">
        <v>207</v>
      </c>
      <c r="C347" s="61" t="s">
        <v>197</v>
      </c>
      <c r="D347" s="546">
        <f>12424-4018</f>
        <v>8406</v>
      </c>
      <c r="E347" s="71" t="s">
        <v>756</v>
      </c>
    </row>
    <row r="348" spans="1:5" ht="30">
      <c r="A348" s="153"/>
      <c r="B348" s="77" t="s">
        <v>209</v>
      </c>
      <c r="C348" s="61" t="s">
        <v>560</v>
      </c>
      <c r="D348" s="187">
        <v>7990</v>
      </c>
      <c r="E348" s="68" t="s">
        <v>772</v>
      </c>
    </row>
    <row r="349" spans="1:5" ht="15">
      <c r="A349" s="153"/>
      <c r="B349" s="77" t="s">
        <v>208</v>
      </c>
      <c r="C349" s="61" t="s">
        <v>202</v>
      </c>
      <c r="D349" s="187">
        <v>-3990</v>
      </c>
      <c r="E349" s="68" t="s">
        <v>771</v>
      </c>
    </row>
    <row r="350" spans="1:5" ht="15">
      <c r="A350" s="153"/>
      <c r="B350" s="77" t="s">
        <v>422</v>
      </c>
      <c r="C350" s="61" t="s">
        <v>436</v>
      </c>
      <c r="D350" s="187">
        <v>4018</v>
      </c>
      <c r="E350" s="68" t="s">
        <v>770</v>
      </c>
    </row>
    <row r="351" spans="1:5" ht="15">
      <c r="A351" s="153"/>
      <c r="B351" s="78" t="s">
        <v>311</v>
      </c>
      <c r="C351" s="61" t="s">
        <v>556</v>
      </c>
      <c r="D351" s="544"/>
      <c r="E351" s="68"/>
    </row>
    <row r="352" spans="1:5" ht="15">
      <c r="A352" s="153"/>
      <c r="B352" s="78"/>
      <c r="C352" s="61" t="s">
        <v>554</v>
      </c>
      <c r="D352" s="205"/>
      <c r="E352" s="68"/>
    </row>
    <row r="353" spans="1:5" ht="30">
      <c r="A353" s="153" t="s">
        <v>32</v>
      </c>
      <c r="B353" s="78" t="s">
        <v>312</v>
      </c>
      <c r="C353" s="61"/>
      <c r="D353" s="149">
        <f>SUM(D354:D356)</f>
        <v>-17415</v>
      </c>
      <c r="E353" s="68"/>
    </row>
    <row r="354" spans="1:5" ht="60">
      <c r="A354" s="185"/>
      <c r="B354" s="77" t="s">
        <v>354</v>
      </c>
      <c r="C354" s="61" t="s">
        <v>355</v>
      </c>
      <c r="D354" s="187">
        <f>2000+14948-9986</f>
        <v>6962</v>
      </c>
      <c r="E354" s="68" t="s">
        <v>912</v>
      </c>
    </row>
    <row r="355" spans="1:5" ht="15">
      <c r="A355" s="185"/>
      <c r="B355" s="77" t="s">
        <v>437</v>
      </c>
      <c r="C355" s="61" t="s">
        <v>204</v>
      </c>
      <c r="D355" s="187">
        <v>-5000</v>
      </c>
      <c r="E355" s="68" t="s">
        <v>757</v>
      </c>
    </row>
    <row r="356" spans="1:5" ht="90">
      <c r="A356" s="185"/>
      <c r="B356" s="77" t="s">
        <v>422</v>
      </c>
      <c r="C356" s="61" t="s">
        <v>436</v>
      </c>
      <c r="D356" s="35">
        <f>-19377</f>
        <v>-19377</v>
      </c>
      <c r="E356" s="68" t="s">
        <v>758</v>
      </c>
    </row>
    <row r="357" spans="1:5" ht="60">
      <c r="A357" s="153" t="s">
        <v>434</v>
      </c>
      <c r="B357" s="78" t="s">
        <v>433</v>
      </c>
      <c r="C357" s="61"/>
      <c r="D357" s="140">
        <f>SUM(D358:D361)</f>
        <v>61500</v>
      </c>
      <c r="E357" s="68" t="s">
        <v>759</v>
      </c>
    </row>
    <row r="358" spans="1:5" ht="15">
      <c r="A358" s="185"/>
      <c r="B358" s="77" t="s">
        <v>18</v>
      </c>
      <c r="C358" s="61" t="s">
        <v>216</v>
      </c>
      <c r="D358" s="35">
        <v>45000</v>
      </c>
      <c r="E358" s="68"/>
    </row>
    <row r="359" spans="1:5" ht="15">
      <c r="A359" s="185"/>
      <c r="B359" s="77" t="s">
        <v>19</v>
      </c>
      <c r="C359" s="61" t="s">
        <v>7</v>
      </c>
      <c r="D359" s="35">
        <v>16500</v>
      </c>
      <c r="E359" s="68"/>
    </row>
    <row r="360" spans="1:5" ht="15">
      <c r="A360" s="185"/>
      <c r="B360" s="77" t="s">
        <v>207</v>
      </c>
      <c r="C360" s="61" t="s">
        <v>197</v>
      </c>
      <c r="D360" s="35">
        <v>-7300</v>
      </c>
      <c r="E360" s="68"/>
    </row>
    <row r="361" spans="1:5" ht="15">
      <c r="A361" s="185"/>
      <c r="B361" s="77" t="s">
        <v>422</v>
      </c>
      <c r="C361" s="61" t="s">
        <v>436</v>
      </c>
      <c r="D361" s="35">
        <v>7300</v>
      </c>
      <c r="E361" s="68"/>
    </row>
    <row r="362" spans="1:5" ht="30">
      <c r="A362" s="153" t="s">
        <v>548</v>
      </c>
      <c r="B362" s="78" t="s">
        <v>547</v>
      </c>
      <c r="C362" s="61"/>
      <c r="D362" s="140">
        <f>SUM(D363:D365)</f>
        <v>19072</v>
      </c>
      <c r="E362" s="450" t="s">
        <v>817</v>
      </c>
    </row>
    <row r="363" spans="1:5" ht="15">
      <c r="A363" s="185"/>
      <c r="B363" s="77" t="s">
        <v>18</v>
      </c>
      <c r="C363" s="61" t="s">
        <v>216</v>
      </c>
      <c r="D363" s="35">
        <v>1525</v>
      </c>
      <c r="E363" s="68"/>
    </row>
    <row r="364" spans="1:5" ht="15">
      <c r="A364" s="185"/>
      <c r="B364" s="77" t="s">
        <v>19</v>
      </c>
      <c r="C364" s="61" t="s">
        <v>7</v>
      </c>
      <c r="D364" s="35">
        <v>737</v>
      </c>
      <c r="E364" s="68"/>
    </row>
    <row r="365" spans="1:5" ht="15">
      <c r="A365" s="185"/>
      <c r="B365" s="77" t="s">
        <v>422</v>
      </c>
      <c r="C365" s="61" t="s">
        <v>436</v>
      </c>
      <c r="D365" s="35">
        <v>16810</v>
      </c>
      <c r="E365" s="68"/>
    </row>
    <row r="366" spans="1:5" ht="60">
      <c r="A366" s="472" t="s">
        <v>818</v>
      </c>
      <c r="B366" s="463" t="s">
        <v>664</v>
      </c>
      <c r="C366" s="61"/>
      <c r="D366" s="140">
        <f>D367</f>
        <v>-13</v>
      </c>
      <c r="E366" s="501" t="s">
        <v>873</v>
      </c>
    </row>
    <row r="367" spans="1:5" ht="15">
      <c r="A367" s="185"/>
      <c r="B367" s="77" t="s">
        <v>206</v>
      </c>
      <c r="C367" s="155" t="s">
        <v>196</v>
      </c>
      <c r="D367" s="35">
        <v>-13</v>
      </c>
      <c r="E367" s="68"/>
    </row>
    <row r="368" spans="1:5" ht="45">
      <c r="A368" s="472" t="s">
        <v>819</v>
      </c>
      <c r="B368" s="463" t="s">
        <v>820</v>
      </c>
      <c r="C368" s="61"/>
      <c r="D368" s="140">
        <f>SUM(D369:D372)</f>
        <v>35247</v>
      </c>
      <c r="E368" s="68" t="s">
        <v>813</v>
      </c>
    </row>
    <row r="369" spans="1:5" ht="15">
      <c r="A369" s="185"/>
      <c r="B369" s="77" t="s">
        <v>18</v>
      </c>
      <c r="C369" s="61" t="s">
        <v>216</v>
      </c>
      <c r="D369" s="35">
        <v>4760</v>
      </c>
      <c r="E369" s="68"/>
    </row>
    <row r="370" spans="1:5" ht="15">
      <c r="A370" s="185"/>
      <c r="B370" s="77" t="s">
        <v>19</v>
      </c>
      <c r="C370" s="61" t="s">
        <v>7</v>
      </c>
      <c r="D370" s="35">
        <v>1148</v>
      </c>
      <c r="E370" s="68"/>
    </row>
    <row r="371" spans="1:5" ht="15">
      <c r="A371" s="185"/>
      <c r="B371" s="77" t="s">
        <v>206</v>
      </c>
      <c r="C371" s="155" t="s">
        <v>196</v>
      </c>
      <c r="D371" s="35">
        <v>340</v>
      </c>
      <c r="E371" s="68"/>
    </row>
    <row r="372" spans="1:5" ht="15">
      <c r="A372" s="185"/>
      <c r="B372" s="77" t="s">
        <v>422</v>
      </c>
      <c r="C372" s="61" t="s">
        <v>436</v>
      </c>
      <c r="D372" s="35">
        <v>28999</v>
      </c>
      <c r="E372" s="68"/>
    </row>
    <row r="373" spans="1:5" ht="75">
      <c r="A373" s="472" t="s">
        <v>821</v>
      </c>
      <c r="B373" s="463" t="s">
        <v>409</v>
      </c>
      <c r="C373" s="61"/>
      <c r="D373" s="140">
        <f>SUM(D374:D377)</f>
        <v>0</v>
      </c>
      <c r="E373" s="68" t="s">
        <v>21</v>
      </c>
    </row>
    <row r="374" spans="1:5" ht="15">
      <c r="A374" s="185"/>
      <c r="B374" s="77" t="s">
        <v>18</v>
      </c>
      <c r="C374" s="61" t="s">
        <v>216</v>
      </c>
      <c r="D374" s="35">
        <v>-2200</v>
      </c>
      <c r="E374" s="68"/>
    </row>
    <row r="375" spans="1:5" ht="15">
      <c r="A375" s="185"/>
      <c r="B375" s="77" t="s">
        <v>19</v>
      </c>
      <c r="C375" s="61" t="s">
        <v>7</v>
      </c>
      <c r="D375" s="35">
        <v>-530</v>
      </c>
      <c r="E375" s="68"/>
    </row>
    <row r="376" spans="1:5" ht="15">
      <c r="A376" s="185"/>
      <c r="B376" s="77" t="s">
        <v>207</v>
      </c>
      <c r="C376" s="61"/>
      <c r="D376" s="35">
        <v>-19835</v>
      </c>
      <c r="E376" s="68"/>
    </row>
    <row r="377" spans="1:5" ht="15">
      <c r="A377" s="185"/>
      <c r="B377" s="77" t="s">
        <v>422</v>
      </c>
      <c r="C377" s="61" t="s">
        <v>436</v>
      </c>
      <c r="D377" s="35">
        <v>22565</v>
      </c>
      <c r="E377" s="68"/>
    </row>
    <row r="378" spans="1:5" ht="15">
      <c r="A378" s="61" t="s">
        <v>156</v>
      </c>
      <c r="B378" s="77"/>
      <c r="C378" s="61"/>
      <c r="D378" s="45">
        <v>2071881</v>
      </c>
      <c r="E378" s="61"/>
    </row>
    <row r="379" spans="1:5" s="16" customFormat="1" ht="14.25">
      <c r="A379" s="182"/>
      <c r="B379" s="170"/>
      <c r="C379" s="182" t="s">
        <v>20</v>
      </c>
      <c r="D379" s="167">
        <f>D5+D20+D30+D68+D79+D113+D119+D186+D338+D378</f>
        <v>-166271.3500000001</v>
      </c>
      <c r="E379" s="45"/>
    </row>
    <row r="380" spans="1:4" ht="15">
      <c r="A380" s="72" t="s">
        <v>35</v>
      </c>
      <c r="B380" s="16" t="s">
        <v>194</v>
      </c>
      <c r="D380" s="17">
        <f>D390</f>
        <v>174482</v>
      </c>
    </row>
    <row r="381" spans="1:2" ht="15">
      <c r="A381" s="591" t="s">
        <v>563</v>
      </c>
      <c r="B381" s="591"/>
    </row>
    <row r="382" spans="1:4" ht="15">
      <c r="A382" s="29" t="s">
        <v>558</v>
      </c>
      <c r="D382" s="13">
        <v>-310438</v>
      </c>
    </row>
    <row r="383" ht="15">
      <c r="A383" s="29" t="s">
        <v>498</v>
      </c>
    </row>
    <row r="384" ht="15">
      <c r="D384" s="58"/>
    </row>
    <row r="385" spans="4:5" ht="15">
      <c r="D385" s="58">
        <f>Ieņēmumi!G19+Ieņēmumi!G20+Ieņēmumi!G21-Izdevumi!D379-D380-Izdevumi!D381-Izdevumi!D382-Izdevumi!D383-'Fin. pagastu pārv.'!T14</f>
        <v>0.10000000009313226</v>
      </c>
      <c r="E385" s="13"/>
    </row>
    <row r="386" ht="15">
      <c r="D386" s="58"/>
    </row>
    <row r="387" spans="1:4" ht="63">
      <c r="A387" s="592" t="s">
        <v>538</v>
      </c>
      <c r="B387" s="592"/>
      <c r="C387" s="592"/>
      <c r="D387" s="203" t="s">
        <v>539</v>
      </c>
    </row>
    <row r="388" spans="1:4" ht="48.75" customHeight="1">
      <c r="A388" s="594" t="s">
        <v>595</v>
      </c>
      <c r="B388" s="594"/>
      <c r="C388" s="595"/>
      <c r="D388" s="35">
        <v>148803</v>
      </c>
    </row>
    <row r="389" spans="1:4" ht="15.75">
      <c r="A389" s="596" t="s">
        <v>727</v>
      </c>
      <c r="B389" s="596"/>
      <c r="C389" s="597"/>
      <c r="D389" s="35">
        <v>25679</v>
      </c>
    </row>
    <row r="390" spans="1:4" ht="15">
      <c r="A390" s="593" t="s">
        <v>219</v>
      </c>
      <c r="B390" s="593"/>
      <c r="C390" s="593"/>
      <c r="D390" s="45">
        <f>SUM(D388:D389)</f>
        <v>174482</v>
      </c>
    </row>
    <row r="391" ht="15">
      <c r="D391" s="58"/>
    </row>
    <row r="392" ht="15">
      <c r="D392" s="58"/>
    </row>
    <row r="393" spans="1:5" ht="15">
      <c r="A393" s="29" t="s">
        <v>365</v>
      </c>
      <c r="B393" s="29"/>
      <c r="C393" s="13"/>
      <c r="D393" s="29" t="s">
        <v>36</v>
      </c>
      <c r="E393" s="13"/>
    </row>
    <row r="394" spans="2:5" ht="15">
      <c r="B394" s="29"/>
      <c r="C394" s="13"/>
      <c r="E394" s="13"/>
    </row>
  </sheetData>
  <sheetProtection/>
  <mergeCells count="6">
    <mergeCell ref="A2:E2"/>
    <mergeCell ref="A381:B381"/>
    <mergeCell ref="A387:C387"/>
    <mergeCell ref="A390:C390"/>
    <mergeCell ref="A388:C388"/>
    <mergeCell ref="A389:C389"/>
  </mergeCells>
  <printOptions/>
  <pageMargins left="0.45" right="0.17" top="0.69" bottom="0.5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10.0039062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00390625" style="0" customWidth="1"/>
    <col min="8" max="8" width="9.28125" style="0" customWidth="1"/>
    <col min="9" max="9" width="10.00390625" style="0" customWidth="1"/>
  </cols>
  <sheetData>
    <row r="1" spans="1:10" ht="12.75">
      <c r="A1" s="1"/>
      <c r="B1" s="1"/>
      <c r="C1" s="1"/>
      <c r="D1" s="1"/>
      <c r="E1" s="1"/>
      <c r="F1" t="s">
        <v>37</v>
      </c>
      <c r="G1" s="1"/>
      <c r="H1" s="1"/>
      <c r="I1" s="1"/>
      <c r="J1" s="1"/>
    </row>
    <row r="2" spans="1:10" ht="33" customHeight="1">
      <c r="A2" s="598" t="s">
        <v>687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0" ht="18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3" t="s">
        <v>682</v>
      </c>
      <c r="B4" s="3"/>
      <c r="C4" s="3"/>
      <c r="D4" s="3"/>
      <c r="E4" s="3"/>
      <c r="F4" s="3"/>
      <c r="G4" s="3"/>
      <c r="H4" s="3"/>
      <c r="I4" s="3"/>
      <c r="J4" s="1"/>
    </row>
    <row r="5" spans="1:10" ht="16.5" thickBot="1">
      <c r="A5" s="3"/>
      <c r="B5" s="3"/>
      <c r="C5" s="3"/>
      <c r="D5" s="3"/>
      <c r="E5" s="3"/>
      <c r="F5" s="3"/>
      <c r="G5" s="3"/>
      <c r="H5" s="3"/>
      <c r="I5" s="3"/>
      <c r="J5" s="1"/>
    </row>
    <row r="6" spans="1:10" ht="30" customHeight="1" thickBot="1">
      <c r="A6" s="4"/>
      <c r="B6" s="44" t="s">
        <v>152</v>
      </c>
      <c r="C6" s="10" t="s">
        <v>153</v>
      </c>
      <c r="D6" s="44" t="s">
        <v>145</v>
      </c>
      <c r="E6" s="44" t="s">
        <v>329</v>
      </c>
      <c r="F6" s="44" t="s">
        <v>146</v>
      </c>
      <c r="G6" s="5" t="s">
        <v>147</v>
      </c>
      <c r="H6" s="43"/>
      <c r="I6" s="1"/>
      <c r="J6" s="27"/>
    </row>
    <row r="7" spans="1:10" ht="15">
      <c r="A7" s="6" t="s">
        <v>148</v>
      </c>
      <c r="B7" s="118">
        <v>1183771</v>
      </c>
      <c r="C7" s="439">
        <v>507558</v>
      </c>
      <c r="D7" s="440">
        <v>527907</v>
      </c>
      <c r="E7" s="102">
        <v>586986</v>
      </c>
      <c r="F7" s="441">
        <v>153722</v>
      </c>
      <c r="G7" s="57">
        <f>SUM(B7:F7)</f>
        <v>2959944</v>
      </c>
      <c r="H7" s="8"/>
      <c r="I7" s="1"/>
      <c r="J7" s="25"/>
    </row>
    <row r="8" spans="1:7" ht="15.75" thickBot="1">
      <c r="A8" s="50" t="s">
        <v>149</v>
      </c>
      <c r="B8">
        <v>625979</v>
      </c>
      <c r="C8" s="437">
        <v>285338</v>
      </c>
      <c r="D8" s="437">
        <v>274586</v>
      </c>
      <c r="E8" s="437">
        <v>307252</v>
      </c>
      <c r="F8" s="438">
        <v>90742</v>
      </c>
      <c r="G8" s="57">
        <f>SUM(B8:F8)</f>
        <v>1583897</v>
      </c>
    </row>
    <row r="9" spans="1:9" ht="15.75" thickBot="1">
      <c r="A9" s="52" t="s">
        <v>150</v>
      </c>
      <c r="B9" s="75">
        <f>SUM(B7:B8)</f>
        <v>1809750</v>
      </c>
      <c r="C9" s="75">
        <f>SUM(C7:C8)</f>
        <v>792896</v>
      </c>
      <c r="D9" s="75">
        <f>SUM(D7:D8)</f>
        <v>802493</v>
      </c>
      <c r="E9" s="75">
        <f>SUM(E7:E8)</f>
        <v>894238</v>
      </c>
      <c r="F9" s="75">
        <f>SUM(F7:F8)</f>
        <v>244464</v>
      </c>
      <c r="G9" s="53">
        <f>SUM(B9:F9)</f>
        <v>4543841</v>
      </c>
      <c r="H9" s="120"/>
      <c r="I9" s="25"/>
    </row>
    <row r="10" spans="1:11" ht="15">
      <c r="A10" s="1"/>
      <c r="B10" s="7"/>
      <c r="C10" s="9"/>
      <c r="D10" s="9"/>
      <c r="E10" s="9"/>
      <c r="F10" s="54"/>
      <c r="G10" s="8"/>
      <c r="H10" s="49"/>
      <c r="I10" s="1"/>
      <c r="K10" s="11"/>
    </row>
    <row r="11" spans="1:11" ht="15.75">
      <c r="A11" s="3" t="s">
        <v>683</v>
      </c>
      <c r="B11" s="85"/>
      <c r="C11" s="85"/>
      <c r="D11" s="85"/>
      <c r="E11" s="86"/>
      <c r="F11" s="85"/>
      <c r="G11" s="85"/>
      <c r="H11" s="85"/>
      <c r="I11" s="85"/>
      <c r="J11" s="1"/>
      <c r="K11" s="11"/>
    </row>
    <row r="12" spans="1:11" ht="16.5" thickBot="1">
      <c r="A12" s="3"/>
      <c r="B12" s="85"/>
      <c r="C12" s="85"/>
      <c r="D12" s="85"/>
      <c r="E12" s="86"/>
      <c r="F12" s="85"/>
      <c r="G12" s="85"/>
      <c r="H12" s="85"/>
      <c r="I12" s="85"/>
      <c r="J12" s="1"/>
      <c r="K12" s="11"/>
    </row>
    <row r="13" spans="1:11" ht="15.75" thickBot="1">
      <c r="A13" s="4" t="s">
        <v>23</v>
      </c>
      <c r="B13" s="10" t="s">
        <v>392</v>
      </c>
      <c r="C13" s="10" t="s">
        <v>393</v>
      </c>
      <c r="D13" s="10" t="s">
        <v>394</v>
      </c>
      <c r="E13" s="10" t="s">
        <v>395</v>
      </c>
      <c r="F13" s="10" t="s">
        <v>396</v>
      </c>
      <c r="G13" s="10" t="s">
        <v>397</v>
      </c>
      <c r="H13" s="10" t="s">
        <v>398</v>
      </c>
      <c r="I13" s="87" t="s">
        <v>399</v>
      </c>
      <c r="J13" s="88" t="s">
        <v>400</v>
      </c>
      <c r="K13" s="11"/>
    </row>
    <row r="14" spans="1:11" ht="15">
      <c r="A14" s="89" t="s">
        <v>148</v>
      </c>
      <c r="B14" s="118"/>
      <c r="C14" s="118">
        <v>93315</v>
      </c>
      <c r="D14" s="119">
        <v>62431</v>
      </c>
      <c r="E14" s="119">
        <v>77908</v>
      </c>
      <c r="F14" s="119">
        <v>62074</v>
      </c>
      <c r="G14" s="119">
        <v>20494</v>
      </c>
      <c r="H14" s="119">
        <v>61842</v>
      </c>
      <c r="I14" s="102">
        <v>42174</v>
      </c>
      <c r="J14" s="90">
        <f>SUM(B14:I14)</f>
        <v>420238</v>
      </c>
      <c r="K14" s="11"/>
    </row>
    <row r="15" spans="1:11" ht="15.75" thickBot="1">
      <c r="A15" s="91" t="s">
        <v>149</v>
      </c>
      <c r="B15" s="92"/>
      <c r="C15" s="442">
        <v>45558</v>
      </c>
      <c r="D15" s="442">
        <v>32518</v>
      </c>
      <c r="E15" s="442">
        <v>39651</v>
      </c>
      <c r="F15" s="442">
        <v>38487</v>
      </c>
      <c r="G15" s="442">
        <v>14752</v>
      </c>
      <c r="H15" s="442">
        <v>36297</v>
      </c>
      <c r="I15" s="442">
        <v>15019</v>
      </c>
      <c r="J15" s="93">
        <f>SUM(B15:I15)</f>
        <v>222282</v>
      </c>
      <c r="K15" s="11"/>
    </row>
    <row r="16" spans="1:12" ht="15.75" thickBot="1">
      <c r="A16" s="94" t="s">
        <v>401</v>
      </c>
      <c r="B16" s="95">
        <f aca="true" t="shared" si="0" ref="B16:I16">SUM(B14:B15)</f>
        <v>0</v>
      </c>
      <c r="C16" s="95">
        <f t="shared" si="0"/>
        <v>138873</v>
      </c>
      <c r="D16" s="95">
        <f t="shared" si="0"/>
        <v>94949</v>
      </c>
      <c r="E16" s="95">
        <f t="shared" si="0"/>
        <v>117559</v>
      </c>
      <c r="F16" s="95">
        <f t="shared" si="0"/>
        <v>100561</v>
      </c>
      <c r="G16" s="95">
        <f t="shared" si="0"/>
        <v>35246</v>
      </c>
      <c r="H16" s="95">
        <f t="shared" si="0"/>
        <v>98139</v>
      </c>
      <c r="I16" s="95">
        <f t="shared" si="0"/>
        <v>57193</v>
      </c>
      <c r="J16" s="53">
        <f>SUM(B16:I16)</f>
        <v>642520</v>
      </c>
      <c r="K16" s="120"/>
      <c r="L16" s="25"/>
    </row>
    <row r="17" spans="1:10" ht="15">
      <c r="A17" s="96"/>
      <c r="B17" s="9"/>
      <c r="C17" s="9"/>
      <c r="D17" s="9"/>
      <c r="E17" s="9"/>
      <c r="F17" s="9"/>
      <c r="G17" s="9"/>
      <c r="H17" s="9"/>
      <c r="I17" s="9"/>
      <c r="J17" s="8"/>
    </row>
    <row r="18" spans="1:10" ht="15.75">
      <c r="A18" s="3" t="s">
        <v>684</v>
      </c>
      <c r="B18" s="3"/>
      <c r="C18" s="3"/>
      <c r="D18" s="3"/>
      <c r="E18" s="3"/>
      <c r="F18" s="3"/>
      <c r="G18" s="3"/>
      <c r="H18" s="3"/>
      <c r="I18" s="3"/>
      <c r="J18" s="1"/>
    </row>
    <row r="19" spans="1:10" ht="16.5" thickBot="1">
      <c r="A19" s="3"/>
      <c r="B19" s="3"/>
      <c r="C19" s="3"/>
      <c r="D19" s="3"/>
      <c r="E19" s="3"/>
      <c r="F19" s="3"/>
      <c r="G19" s="3"/>
      <c r="H19" s="3"/>
      <c r="I19" s="3"/>
      <c r="J19" s="1"/>
    </row>
    <row r="20" spans="1:11" ht="29.25" customHeight="1" thickBot="1">
      <c r="A20" s="4"/>
      <c r="B20" s="97" t="s">
        <v>402</v>
      </c>
      <c r="C20" s="97" t="s">
        <v>403</v>
      </c>
      <c r="D20" s="98" t="s">
        <v>145</v>
      </c>
      <c r="E20" s="44" t="s">
        <v>329</v>
      </c>
      <c r="F20" s="99" t="s">
        <v>146</v>
      </c>
      <c r="G20" s="100" t="s">
        <v>17</v>
      </c>
      <c r="H20" s="99" t="s">
        <v>151</v>
      </c>
      <c r="I20" s="99" t="s">
        <v>404</v>
      </c>
      <c r="J20" s="88" t="s">
        <v>147</v>
      </c>
      <c r="K20" s="101"/>
    </row>
    <row r="21" spans="1:10" ht="15">
      <c r="A21" s="6" t="s">
        <v>405</v>
      </c>
      <c r="B21" s="118">
        <v>31072</v>
      </c>
      <c r="C21" s="119">
        <v>22928</v>
      </c>
      <c r="D21" s="118">
        <v>9512</v>
      </c>
      <c r="E21" s="119">
        <v>22264</v>
      </c>
      <c r="F21" s="102">
        <v>5880</v>
      </c>
      <c r="G21" s="102"/>
      <c r="H21" s="444"/>
      <c r="I21" s="102">
        <v>66103</v>
      </c>
      <c r="J21" s="90">
        <f>SUM(B21:I21)</f>
        <v>157759</v>
      </c>
    </row>
    <row r="22" spans="1:11" ht="15.75" thickBot="1">
      <c r="A22" s="103" t="s">
        <v>149</v>
      </c>
      <c r="B22" s="443">
        <v>12399</v>
      </c>
      <c r="C22" s="443">
        <v>13933</v>
      </c>
      <c r="D22" s="443">
        <v>4408</v>
      </c>
      <c r="E22" s="443">
        <v>9947</v>
      </c>
      <c r="F22" s="443">
        <v>4244</v>
      </c>
      <c r="G22" s="443"/>
      <c r="H22" s="443"/>
      <c r="I22" s="443">
        <v>36330</v>
      </c>
      <c r="J22" s="104">
        <f>SUM(B22:I22)</f>
        <v>81261</v>
      </c>
      <c r="K22" s="105"/>
    </row>
    <row r="23" spans="1:10" ht="15.75" thickBot="1">
      <c r="A23" s="106" t="s">
        <v>406</v>
      </c>
      <c r="B23" s="107">
        <f aca="true" t="shared" si="1" ref="B23:H23">SUM(B21:B22)</f>
        <v>43471</v>
      </c>
      <c r="C23" s="107">
        <f t="shared" si="1"/>
        <v>36861</v>
      </c>
      <c r="D23" s="107">
        <f t="shared" si="1"/>
        <v>13920</v>
      </c>
      <c r="E23" s="107">
        <f t="shared" si="1"/>
        <v>32211</v>
      </c>
      <c r="F23" s="107">
        <f t="shared" si="1"/>
        <v>10124</v>
      </c>
      <c r="G23" s="107">
        <f t="shared" si="1"/>
        <v>0</v>
      </c>
      <c r="H23" s="107">
        <f t="shared" si="1"/>
        <v>0</v>
      </c>
      <c r="I23" s="107">
        <f>SUM(I21:I22)</f>
        <v>102433</v>
      </c>
      <c r="J23" s="108">
        <f>SUM(B23:I23)</f>
        <v>239020</v>
      </c>
    </row>
    <row r="24" spans="1:12" ht="15">
      <c r="A24" s="1"/>
      <c r="B24" s="7"/>
      <c r="C24" s="7"/>
      <c r="D24" s="7"/>
      <c r="E24" s="7"/>
      <c r="F24" s="7"/>
      <c r="G24" s="7"/>
      <c r="H24" s="7"/>
      <c r="I24" s="7"/>
      <c r="J24" s="7"/>
      <c r="K24" s="8"/>
      <c r="L24" s="7"/>
    </row>
    <row r="25" spans="1:10" ht="15.75">
      <c r="A25" s="3" t="s">
        <v>685</v>
      </c>
      <c r="B25" s="3"/>
      <c r="C25" s="3"/>
      <c r="D25" s="3"/>
      <c r="E25" s="3"/>
      <c r="F25" s="3"/>
      <c r="G25" s="3"/>
      <c r="H25" s="3"/>
      <c r="I25" s="3"/>
      <c r="J25" s="1"/>
    </row>
    <row r="26" spans="1:10" ht="16.5" thickBot="1">
      <c r="A26" s="3"/>
      <c r="B26" s="3"/>
      <c r="C26" s="3"/>
      <c r="D26" s="3"/>
      <c r="E26" s="3"/>
      <c r="F26" s="3"/>
      <c r="G26" s="3"/>
      <c r="H26" s="3"/>
      <c r="I26" s="3"/>
      <c r="J26" s="1"/>
    </row>
    <row r="27" spans="1:10" ht="29.25" customHeight="1" thickBot="1">
      <c r="A27" s="4"/>
      <c r="B27" s="99" t="s">
        <v>17</v>
      </c>
      <c r="C27" s="99" t="s">
        <v>151</v>
      </c>
      <c r="D27" s="99" t="s">
        <v>407</v>
      </c>
      <c r="E27" s="99" t="s">
        <v>133</v>
      </c>
      <c r="F27" s="88" t="s">
        <v>147</v>
      </c>
      <c r="G27" s="1"/>
      <c r="H27" s="1"/>
      <c r="I27" s="1"/>
      <c r="J27" s="1"/>
    </row>
    <row r="28" spans="1:10" ht="15.75">
      <c r="A28" s="6" t="s">
        <v>405</v>
      </c>
      <c r="B28" s="446">
        <v>222039</v>
      </c>
      <c r="C28" s="446">
        <v>114809</v>
      </c>
      <c r="D28" s="447">
        <v>268501</v>
      </c>
      <c r="E28" s="448">
        <v>59766</v>
      </c>
      <c r="F28" s="90">
        <f>SUM(B28:E28)</f>
        <v>665115</v>
      </c>
      <c r="G28" s="1"/>
      <c r="H28" s="8"/>
      <c r="I28" s="1"/>
      <c r="J28" s="1"/>
    </row>
    <row r="29" spans="1:10" ht="15.75" thickBot="1">
      <c r="A29" s="50" t="s">
        <v>149</v>
      </c>
      <c r="B29" s="445">
        <v>5075</v>
      </c>
      <c r="C29" s="445">
        <v>2658</v>
      </c>
      <c r="D29" s="528">
        <f>1576+142945</f>
        <v>144521</v>
      </c>
      <c r="E29" s="529">
        <f>-1381+30599</f>
        <v>29218</v>
      </c>
      <c r="F29" s="93">
        <f>SUM(B29:E29)</f>
        <v>181472</v>
      </c>
      <c r="G29" s="1"/>
      <c r="H29" s="1"/>
      <c r="I29" s="1"/>
      <c r="J29" s="1"/>
    </row>
    <row r="30" spans="1:10" ht="15.75" thickBot="1">
      <c r="A30" s="52" t="s">
        <v>406</v>
      </c>
      <c r="B30" s="75">
        <f>SUM(B28:B29)</f>
        <v>227114</v>
      </c>
      <c r="C30" s="75">
        <f>SUM(C28:C29)</f>
        <v>117467</v>
      </c>
      <c r="D30" s="75">
        <f>SUM(D28:D29)</f>
        <v>413022</v>
      </c>
      <c r="E30" s="75">
        <f>SUM(E28:E29)</f>
        <v>88984</v>
      </c>
      <c r="F30" s="53">
        <f>SUM(B30:E30)</f>
        <v>846587</v>
      </c>
      <c r="G30" s="1"/>
      <c r="H30" s="8"/>
      <c r="I30" s="1"/>
      <c r="J30" s="1"/>
    </row>
    <row r="31" spans="1:10" ht="15">
      <c r="A31" s="1"/>
      <c r="B31" s="7"/>
      <c r="C31" s="7"/>
      <c r="D31" s="7"/>
      <c r="E31" s="7"/>
      <c r="F31" s="8"/>
      <c r="G31" s="1"/>
      <c r="H31" s="1"/>
      <c r="I31" s="1"/>
      <c r="J31" s="1"/>
    </row>
    <row r="32" spans="1:10" ht="16.5" thickBot="1">
      <c r="A32" s="599" t="s">
        <v>686</v>
      </c>
      <c r="B32" s="599"/>
      <c r="C32" s="599"/>
      <c r="D32" s="599"/>
      <c r="E32" s="599"/>
      <c r="F32" s="600"/>
      <c r="G32" s="1"/>
      <c r="H32" s="1"/>
      <c r="I32" s="1"/>
      <c r="J32" s="1"/>
    </row>
    <row r="33" spans="1:10" ht="27" thickBot="1">
      <c r="A33" s="4"/>
      <c r="B33" s="44" t="s">
        <v>145</v>
      </c>
      <c r="C33" s="99" t="s">
        <v>407</v>
      </c>
      <c r="D33" s="99"/>
      <c r="E33" s="88" t="s">
        <v>147</v>
      </c>
      <c r="F33" s="1"/>
      <c r="G33" s="1"/>
      <c r="H33" s="1"/>
      <c r="I33" s="1"/>
      <c r="J33" s="1"/>
    </row>
    <row r="34" spans="1:10" ht="15">
      <c r="A34" s="50" t="s">
        <v>529</v>
      </c>
      <c r="B34" s="465"/>
      <c r="C34" s="109"/>
      <c r="D34" s="51"/>
      <c r="E34" s="93">
        <f>SUM(B34:D34)</f>
        <v>0</v>
      </c>
      <c r="F34" s="1"/>
      <c r="G34" s="1"/>
      <c r="H34" s="1"/>
      <c r="I34" s="1"/>
      <c r="J34" s="1"/>
    </row>
    <row r="35" spans="1:10" ht="15.75" thickBot="1">
      <c r="A35" s="50" t="s">
        <v>149</v>
      </c>
      <c r="B35" s="465">
        <v>383</v>
      </c>
      <c r="C35" s="109">
        <v>766</v>
      </c>
      <c r="D35" s="51"/>
      <c r="E35" s="57">
        <f>SUM(B35:D35)</f>
        <v>1149</v>
      </c>
      <c r="F35" s="1"/>
      <c r="G35" s="1"/>
      <c r="H35" s="1"/>
      <c r="I35" s="1"/>
      <c r="J35" s="1"/>
    </row>
    <row r="36" spans="1:10" ht="15.75" thickBot="1">
      <c r="A36" s="52" t="s">
        <v>406</v>
      </c>
      <c r="B36" s="75">
        <f>SUM(B34:B35)</f>
        <v>383</v>
      </c>
      <c r="C36" s="75">
        <f>SUM(C34:C35)</f>
        <v>766</v>
      </c>
      <c r="D36" s="75">
        <f>SUM(D34:D35)</f>
        <v>0</v>
      </c>
      <c r="E36" s="196">
        <f>SUM(E34:E35)</f>
        <v>1149</v>
      </c>
      <c r="G36" s="1"/>
      <c r="H36" s="1"/>
      <c r="I36" s="1"/>
      <c r="J36" s="1"/>
    </row>
    <row r="37" spans="1:10" ht="15">
      <c r="A37" s="1"/>
      <c r="B37" s="7"/>
      <c r="C37" s="7"/>
      <c r="D37" s="7"/>
      <c r="E37" s="7"/>
      <c r="F37" s="8"/>
      <c r="G37" s="1"/>
      <c r="H37" s="1"/>
      <c r="I37" s="1"/>
      <c r="J37" s="1"/>
    </row>
    <row r="38" spans="1:10" ht="59.25" customHeight="1" thickBot="1">
      <c r="A38" s="601" t="s">
        <v>876</v>
      </c>
      <c r="B38" s="601"/>
      <c r="C38" s="7"/>
      <c r="D38" s="7"/>
      <c r="E38" s="7"/>
      <c r="F38" s="8"/>
      <c r="G38" s="1"/>
      <c r="H38" s="1"/>
      <c r="I38" s="1"/>
      <c r="J38" s="1"/>
    </row>
    <row r="39" spans="1:10" ht="15.75" thickBot="1">
      <c r="A39" s="4"/>
      <c r="B39" s="525" t="s">
        <v>395</v>
      </c>
      <c r="C39" s="7"/>
      <c r="D39" s="7"/>
      <c r="E39" s="7"/>
      <c r="F39" s="8"/>
      <c r="G39" s="1"/>
      <c r="H39" s="1"/>
      <c r="I39" s="1"/>
      <c r="J39" s="1"/>
    </row>
    <row r="40" spans="1:10" ht="15">
      <c r="A40" s="50" t="s">
        <v>529</v>
      </c>
      <c r="B40" s="526"/>
      <c r="C40" s="7"/>
      <c r="D40" s="7"/>
      <c r="E40" s="7"/>
      <c r="F40" s="8"/>
      <c r="G40" s="1"/>
      <c r="H40" s="1"/>
      <c r="I40" s="1"/>
      <c r="J40" s="1"/>
    </row>
    <row r="41" spans="1:10" ht="15" thickBot="1">
      <c r="A41" s="50" t="s">
        <v>149</v>
      </c>
      <c r="B41" s="526">
        <v>1820</v>
      </c>
      <c r="C41" s="1"/>
      <c r="D41" s="1"/>
      <c r="E41" s="1"/>
      <c r="F41" s="1"/>
      <c r="G41" s="1"/>
      <c r="H41" s="1"/>
      <c r="I41" s="1"/>
      <c r="J41" s="1"/>
    </row>
    <row r="42" spans="1:2" ht="15.75" thickBot="1">
      <c r="A42" s="52" t="s">
        <v>875</v>
      </c>
      <c r="B42" s="527">
        <f>SUM(B40:B41)</f>
        <v>1820</v>
      </c>
    </row>
    <row r="44" ht="15">
      <c r="A44" s="29" t="s">
        <v>902</v>
      </c>
    </row>
  </sheetData>
  <sheetProtection/>
  <mergeCells count="3">
    <mergeCell ref="A2:J2"/>
    <mergeCell ref="A32:F32"/>
    <mergeCell ref="A38:B3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pane xSplit="1" ySplit="3" topLeftCell="B4" activePane="bottomRight" state="frozen"/>
      <selection pane="topLeft" activeCell="J8" sqref="J8"/>
      <selection pane="topRight" activeCell="J8" sqref="J8"/>
      <selection pane="bottomLeft" activeCell="J8" sqref="J8"/>
      <selection pane="bottomRight" activeCell="A11" sqref="A11"/>
    </sheetView>
  </sheetViews>
  <sheetFormatPr defaultColWidth="9.140625" defaultRowHeight="12.75" outlineLevelRow="1"/>
  <cols>
    <col min="1" max="1" width="38.28125" style="0" customWidth="1"/>
    <col min="2" max="2" width="11.28125" style="0" customWidth="1"/>
    <col min="3" max="3" width="12.00390625" style="0" customWidth="1"/>
    <col min="4" max="4" width="8.7109375" style="0" customWidth="1"/>
    <col min="5" max="5" width="9.140625" style="0" customWidth="1"/>
    <col min="6" max="6" width="9.8515625" style="0" customWidth="1"/>
    <col min="7" max="7" width="9.28125" style="0" customWidth="1"/>
    <col min="8" max="8" width="8.28125" style="0" customWidth="1"/>
    <col min="9" max="10" width="9.00390625" style="0" customWidth="1"/>
    <col min="11" max="11" width="9.28125" style="0" customWidth="1"/>
    <col min="12" max="12" width="8.421875" style="0" customWidth="1"/>
    <col min="13" max="13" width="8.28125" style="0" customWidth="1"/>
    <col min="14" max="14" width="7.00390625" style="0" customWidth="1"/>
    <col min="15" max="16" width="9.421875" style="0" customWidth="1"/>
    <col min="17" max="17" width="8.28125" style="0" customWidth="1"/>
    <col min="18" max="18" width="8.57421875" style="0" customWidth="1"/>
    <col min="19" max="19" width="7.421875" style="0" customWidth="1"/>
    <col min="20" max="20" width="7.7109375" style="0" customWidth="1"/>
  </cols>
  <sheetData>
    <row r="1" ht="12.75">
      <c r="I1" t="s">
        <v>37</v>
      </c>
    </row>
    <row r="2" spans="1:17" ht="12.75">
      <c r="A2" s="25" t="s">
        <v>874</v>
      </c>
      <c r="K2" s="115"/>
      <c r="M2" s="115"/>
      <c r="N2" s="115"/>
      <c r="O2" s="115"/>
      <c r="P2" s="115"/>
      <c r="Q2" s="115"/>
    </row>
    <row r="3" spans="1:21" ht="120">
      <c r="A3" s="31"/>
      <c r="B3" s="32" t="s">
        <v>217</v>
      </c>
      <c r="C3" s="32" t="s">
        <v>872</v>
      </c>
      <c r="D3" s="32" t="s">
        <v>326</v>
      </c>
      <c r="E3" s="32" t="s">
        <v>327</v>
      </c>
      <c r="F3" s="32" t="s">
        <v>328</v>
      </c>
      <c r="G3" s="32" t="s">
        <v>325</v>
      </c>
      <c r="H3" s="32" t="s">
        <v>231</v>
      </c>
      <c r="I3" s="63" t="s">
        <v>344</v>
      </c>
      <c r="J3" s="63" t="s">
        <v>360</v>
      </c>
      <c r="K3" s="116" t="s">
        <v>0</v>
      </c>
      <c r="L3" s="33" t="s">
        <v>370</v>
      </c>
      <c r="M3" s="32" t="s">
        <v>373</v>
      </c>
      <c r="N3" s="122" t="s">
        <v>893</v>
      </c>
      <c r="O3" s="122" t="s">
        <v>537</v>
      </c>
      <c r="P3" s="122" t="s">
        <v>707</v>
      </c>
      <c r="Q3" s="303" t="s">
        <v>473</v>
      </c>
      <c r="R3" s="34" t="s">
        <v>419</v>
      </c>
      <c r="S3" s="32" t="s">
        <v>218</v>
      </c>
      <c r="T3" s="34" t="s">
        <v>219</v>
      </c>
      <c r="U3" s="48"/>
    </row>
    <row r="4" spans="1:21" ht="15">
      <c r="A4" s="35" t="s">
        <v>220</v>
      </c>
      <c r="B4" s="35">
        <f>B34-P4-O4-C4</f>
        <v>339</v>
      </c>
      <c r="C4" s="35">
        <v>4306</v>
      </c>
      <c r="D4" s="31"/>
      <c r="E4" s="31"/>
      <c r="F4" s="35"/>
      <c r="G4" s="35"/>
      <c r="H4" s="35"/>
      <c r="I4" s="35"/>
      <c r="J4" s="35"/>
      <c r="K4" s="67"/>
      <c r="L4" s="36"/>
      <c r="M4" s="37"/>
      <c r="N4" s="121"/>
      <c r="O4" s="200">
        <f>B27</f>
        <v>0</v>
      </c>
      <c r="P4" s="200">
        <f>B24</f>
        <v>360</v>
      </c>
      <c r="Q4" s="200"/>
      <c r="R4" s="40"/>
      <c r="S4" s="37"/>
      <c r="T4" s="38">
        <f aca="true" t="shared" si="0" ref="T4:T14">SUM(B4:S4)</f>
        <v>5005</v>
      </c>
      <c r="U4" s="39"/>
    </row>
    <row r="5" spans="1:21" ht="15">
      <c r="A5" s="35" t="s">
        <v>221</v>
      </c>
      <c r="B5" s="35">
        <f>C34-P5-O5-C5</f>
        <v>-53</v>
      </c>
      <c r="C5" s="35">
        <v>5680</v>
      </c>
      <c r="D5" s="20">
        <v>35722</v>
      </c>
      <c r="E5" s="31">
        <v>2631</v>
      </c>
      <c r="F5" s="35">
        <v>5620</v>
      </c>
      <c r="G5" s="35">
        <v>2681</v>
      </c>
      <c r="H5" s="35">
        <v>1000</v>
      </c>
      <c r="I5" s="35">
        <f>494</f>
        <v>494</v>
      </c>
      <c r="J5" s="35">
        <v>92</v>
      </c>
      <c r="K5" s="35"/>
      <c r="L5" s="36"/>
      <c r="M5" s="20"/>
      <c r="N5" s="76"/>
      <c r="O5" s="76">
        <f>C27</f>
        <v>0</v>
      </c>
      <c r="P5" s="76">
        <f>C24</f>
        <v>2800</v>
      </c>
      <c r="Q5" s="76"/>
      <c r="R5" s="37"/>
      <c r="S5" s="37"/>
      <c r="T5" s="38">
        <f t="shared" si="0"/>
        <v>56667</v>
      </c>
      <c r="U5" s="39"/>
    </row>
    <row r="6" spans="1:21" ht="15">
      <c r="A6" s="35" t="s">
        <v>222</v>
      </c>
      <c r="B6" s="76">
        <f>D34-P6-O6</f>
        <v>-1816</v>
      </c>
      <c r="C6" s="76"/>
      <c r="D6" s="20"/>
      <c r="E6" s="31"/>
      <c r="F6" s="35"/>
      <c r="G6" s="35">
        <v>1915</v>
      </c>
      <c r="H6" s="35"/>
      <c r="I6" s="35"/>
      <c r="J6" s="35"/>
      <c r="K6" s="35"/>
      <c r="L6" s="36"/>
      <c r="M6" s="37"/>
      <c r="N6" s="76"/>
      <c r="O6" s="76">
        <f>D27</f>
        <v>2849</v>
      </c>
      <c r="P6" s="76">
        <f>D24</f>
        <v>0</v>
      </c>
      <c r="Q6" s="76"/>
      <c r="R6" s="128"/>
      <c r="S6" s="37"/>
      <c r="T6" s="38">
        <f t="shared" si="0"/>
        <v>2948</v>
      </c>
      <c r="U6" s="39"/>
    </row>
    <row r="7" spans="1:21" ht="15">
      <c r="A7" s="74" t="s">
        <v>223</v>
      </c>
      <c r="B7" s="76">
        <f>F34-P7-O7</f>
        <v>12726.25</v>
      </c>
      <c r="C7" s="76"/>
      <c r="D7" s="20">
        <v>109522</v>
      </c>
      <c r="E7" s="137">
        <v>8647</v>
      </c>
      <c r="F7" s="74">
        <f>2810+14675</f>
        <v>17485</v>
      </c>
      <c r="G7" s="35">
        <v>3064</v>
      </c>
      <c r="H7" s="35">
        <v>2000</v>
      </c>
      <c r="I7" s="35">
        <f>1780</f>
        <v>1780</v>
      </c>
      <c r="J7" s="35">
        <f>92+830</f>
        <v>922</v>
      </c>
      <c r="K7" s="35"/>
      <c r="L7" s="36"/>
      <c r="M7" s="37"/>
      <c r="N7" s="76"/>
      <c r="O7" s="76">
        <f>F27</f>
        <v>4318</v>
      </c>
      <c r="P7" s="76">
        <f>F24</f>
        <v>5550</v>
      </c>
      <c r="Q7" s="76"/>
      <c r="R7" s="37"/>
      <c r="S7" s="37"/>
      <c r="T7" s="38">
        <f t="shared" si="0"/>
        <v>166014.25</v>
      </c>
      <c r="U7" s="39"/>
    </row>
    <row r="8" spans="1:21" ht="15">
      <c r="A8" s="35" t="s">
        <v>224</v>
      </c>
      <c r="B8" s="35">
        <f>G34-P8-O8</f>
        <v>0</v>
      </c>
      <c r="C8" s="35"/>
      <c r="D8" s="20"/>
      <c r="E8" s="31"/>
      <c r="F8" s="35"/>
      <c r="G8" s="35">
        <v>766</v>
      </c>
      <c r="H8" s="35"/>
      <c r="I8" s="35"/>
      <c r="J8" s="35"/>
      <c r="K8" s="35"/>
      <c r="L8" s="36"/>
      <c r="M8" s="37"/>
      <c r="N8" s="76"/>
      <c r="O8" s="76">
        <f>G27</f>
        <v>1500</v>
      </c>
      <c r="P8" s="76">
        <f>G24</f>
        <v>400</v>
      </c>
      <c r="Q8" s="76"/>
      <c r="R8" s="37"/>
      <c r="S8" s="37"/>
      <c r="T8" s="38">
        <f t="shared" si="0"/>
        <v>2666</v>
      </c>
      <c r="U8" s="39"/>
    </row>
    <row r="9" spans="1:21" ht="15">
      <c r="A9" s="35" t="s">
        <v>225</v>
      </c>
      <c r="B9" s="35">
        <f>E34-P9-O9</f>
        <v>0</v>
      </c>
      <c r="C9" s="35"/>
      <c r="D9" s="20"/>
      <c r="E9" s="31"/>
      <c r="F9" s="35"/>
      <c r="G9" s="35">
        <v>766</v>
      </c>
      <c r="H9" s="35"/>
      <c r="I9" s="35"/>
      <c r="J9" s="35"/>
      <c r="K9" s="35"/>
      <c r="L9" s="36"/>
      <c r="M9" s="37"/>
      <c r="N9" s="76"/>
      <c r="O9" s="76">
        <f>E27</f>
        <v>1437</v>
      </c>
      <c r="P9" s="76">
        <f>E24</f>
        <v>400</v>
      </c>
      <c r="Q9" s="76"/>
      <c r="R9" s="37"/>
      <c r="S9" s="20"/>
      <c r="T9" s="38">
        <f t="shared" si="0"/>
        <v>2603</v>
      </c>
      <c r="U9" s="39"/>
    </row>
    <row r="10" spans="1:21" ht="15">
      <c r="A10" s="35" t="s">
        <v>226</v>
      </c>
      <c r="B10" s="35">
        <f>H34-P10-O10-Q10</f>
        <v>-756</v>
      </c>
      <c r="C10" s="35"/>
      <c r="D10" s="20">
        <v>113835</v>
      </c>
      <c r="E10" s="31">
        <v>8200</v>
      </c>
      <c r="F10" s="35">
        <v>13347</v>
      </c>
      <c r="G10" s="35">
        <v>3830</v>
      </c>
      <c r="H10" s="35">
        <v>2730</v>
      </c>
      <c r="I10" s="35">
        <f>1400</f>
        <v>1400</v>
      </c>
      <c r="J10" s="35">
        <v>590</v>
      </c>
      <c r="K10" s="80"/>
      <c r="L10" s="36"/>
      <c r="M10" s="35"/>
      <c r="N10" s="76"/>
      <c r="O10" s="76">
        <f>H27</f>
        <v>4161</v>
      </c>
      <c r="P10" s="76">
        <f>H24</f>
        <v>0</v>
      </c>
      <c r="Q10" s="76">
        <v>2665</v>
      </c>
      <c r="R10" s="128"/>
      <c r="S10" s="37"/>
      <c r="T10" s="38">
        <f t="shared" si="0"/>
        <v>150002</v>
      </c>
      <c r="U10" s="39"/>
    </row>
    <row r="11" spans="1:21" ht="15">
      <c r="A11" s="35" t="s">
        <v>919</v>
      </c>
      <c r="B11" s="35">
        <f>I34-P11</f>
        <v>3119</v>
      </c>
      <c r="C11" s="35"/>
      <c r="D11" s="20"/>
      <c r="E11" s="31">
        <v>2765</v>
      </c>
      <c r="F11" s="35"/>
      <c r="G11" s="35"/>
      <c r="H11" s="35"/>
      <c r="I11" s="35"/>
      <c r="J11" s="35"/>
      <c r="K11" s="80"/>
      <c r="L11" s="36"/>
      <c r="M11" s="35">
        <f>2280+70049+96792</f>
        <v>169121</v>
      </c>
      <c r="N11" s="76"/>
      <c r="O11" s="76"/>
      <c r="P11" s="76"/>
      <c r="Q11" s="76"/>
      <c r="R11" s="128"/>
      <c r="S11" s="37"/>
      <c r="T11" s="38">
        <f t="shared" si="0"/>
        <v>175005</v>
      </c>
      <c r="U11" s="39"/>
    </row>
    <row r="12" spans="1:21" ht="15">
      <c r="A12" s="35" t="s">
        <v>366</v>
      </c>
      <c r="B12" s="35">
        <f>K34-P12</f>
        <v>0</v>
      </c>
      <c r="C12" s="35"/>
      <c r="D12" s="20"/>
      <c r="E12" s="31"/>
      <c r="F12" s="35"/>
      <c r="G12" s="35"/>
      <c r="H12" s="35"/>
      <c r="I12" s="35"/>
      <c r="J12" s="35"/>
      <c r="K12" s="35"/>
      <c r="L12" s="36"/>
      <c r="M12" s="35"/>
      <c r="N12" s="20"/>
      <c r="O12" s="20"/>
      <c r="P12" s="20"/>
      <c r="Q12" s="20"/>
      <c r="R12" s="128"/>
      <c r="S12" s="37"/>
      <c r="T12" s="38">
        <f t="shared" si="0"/>
        <v>0</v>
      </c>
      <c r="U12" s="39"/>
    </row>
    <row r="13" spans="1:21" ht="15">
      <c r="A13" s="35" t="s">
        <v>227</v>
      </c>
      <c r="B13" s="35">
        <f>J34-P13-O13</f>
        <v>720</v>
      </c>
      <c r="C13" s="35"/>
      <c r="D13" s="20">
        <v>47601</v>
      </c>
      <c r="E13" s="31">
        <v>4899</v>
      </c>
      <c r="F13" s="35">
        <v>4566</v>
      </c>
      <c r="G13" s="35">
        <v>766</v>
      </c>
      <c r="H13" s="35">
        <v>639</v>
      </c>
      <c r="I13" s="35">
        <f>1150</f>
        <v>1150</v>
      </c>
      <c r="J13" s="35">
        <v>387</v>
      </c>
      <c r="K13" s="35"/>
      <c r="L13" s="37"/>
      <c r="M13" s="37"/>
      <c r="N13" s="76"/>
      <c r="O13" s="76">
        <f>J27</f>
        <v>1437</v>
      </c>
      <c r="P13" s="76">
        <f>J24</f>
        <v>1000</v>
      </c>
      <c r="Q13" s="76"/>
      <c r="R13" s="37"/>
      <c r="S13" s="37"/>
      <c r="T13" s="38">
        <f t="shared" si="0"/>
        <v>63165</v>
      </c>
      <c r="U13" s="39"/>
    </row>
    <row r="14" spans="1:21" ht="12.75">
      <c r="A14" s="31" t="s">
        <v>228</v>
      </c>
      <c r="B14" s="41">
        <f>SUM(B4:B13)</f>
        <v>14279.25</v>
      </c>
      <c r="C14" s="41">
        <f>SUM(C4:C13)</f>
        <v>9986</v>
      </c>
      <c r="D14" s="41">
        <f aca="true" t="shared" si="1" ref="D14:S14">SUM(D4:D13)</f>
        <v>306680</v>
      </c>
      <c r="E14" s="41">
        <f t="shared" si="1"/>
        <v>27142</v>
      </c>
      <c r="F14" s="41">
        <f t="shared" si="1"/>
        <v>41018</v>
      </c>
      <c r="G14" s="41">
        <f t="shared" si="1"/>
        <v>13788</v>
      </c>
      <c r="H14" s="41">
        <f>SUM(H4:H13)</f>
        <v>6369</v>
      </c>
      <c r="I14" s="41">
        <f>SUM(I4:I13)</f>
        <v>4824</v>
      </c>
      <c r="J14" s="41">
        <f>SUM(J4:J13)</f>
        <v>1991</v>
      </c>
      <c r="K14" s="41">
        <f t="shared" si="1"/>
        <v>0</v>
      </c>
      <c r="L14" s="41">
        <f t="shared" si="1"/>
        <v>0</v>
      </c>
      <c r="M14" s="41">
        <f t="shared" si="1"/>
        <v>169121</v>
      </c>
      <c r="N14" s="41">
        <f t="shared" si="1"/>
        <v>0</v>
      </c>
      <c r="O14" s="41">
        <f t="shared" si="1"/>
        <v>15702</v>
      </c>
      <c r="P14" s="41">
        <f t="shared" si="1"/>
        <v>10510</v>
      </c>
      <c r="Q14" s="41">
        <f t="shared" si="1"/>
        <v>2665</v>
      </c>
      <c r="R14" s="41">
        <f t="shared" si="1"/>
        <v>0</v>
      </c>
      <c r="S14" s="41">
        <f t="shared" si="1"/>
        <v>0</v>
      </c>
      <c r="T14" s="38">
        <f t="shared" si="0"/>
        <v>624075.25</v>
      </c>
      <c r="U14" s="39"/>
    </row>
    <row r="15" ht="12.75">
      <c r="A15" t="s">
        <v>229</v>
      </c>
    </row>
    <row r="16" spans="1:13" ht="60">
      <c r="A16" s="42" t="s">
        <v>332</v>
      </c>
      <c r="B16" s="42" t="s">
        <v>220</v>
      </c>
      <c r="C16" s="42" t="s">
        <v>221</v>
      </c>
      <c r="D16" s="42" t="s">
        <v>222</v>
      </c>
      <c r="E16" s="42" t="s">
        <v>225</v>
      </c>
      <c r="F16" s="42" t="s">
        <v>223</v>
      </c>
      <c r="G16" s="42" t="s">
        <v>224</v>
      </c>
      <c r="H16" s="42" t="s">
        <v>226</v>
      </c>
      <c r="I16" s="42" t="s">
        <v>496</v>
      </c>
      <c r="J16" s="42" t="s">
        <v>227</v>
      </c>
      <c r="K16" s="42" t="s">
        <v>363</v>
      </c>
      <c r="M16" s="12"/>
    </row>
    <row r="17" spans="1:12" ht="45">
      <c r="A17" s="68" t="s">
        <v>709</v>
      </c>
      <c r="B17" s="136">
        <v>339</v>
      </c>
      <c r="C17" s="42"/>
      <c r="D17" s="42"/>
      <c r="E17" s="42"/>
      <c r="F17" s="42"/>
      <c r="G17" s="42"/>
      <c r="H17" s="42">
        <f>412+660</f>
        <v>1072</v>
      </c>
      <c r="I17" s="42"/>
      <c r="J17" s="42"/>
      <c r="K17" s="42"/>
      <c r="L17" s="25"/>
    </row>
    <row r="18" spans="1:12" ht="56.25" customHeight="1">
      <c r="A18" s="68" t="s">
        <v>747</v>
      </c>
      <c r="B18" s="42"/>
      <c r="C18" s="42"/>
      <c r="D18" s="42"/>
      <c r="E18" s="42"/>
      <c r="F18" s="42">
        <v>186</v>
      </c>
      <c r="G18" s="42"/>
      <c r="H18" s="42">
        <v>695</v>
      </c>
      <c r="I18" s="42"/>
      <c r="J18" s="42"/>
      <c r="K18" s="42"/>
      <c r="L18" s="25"/>
    </row>
    <row r="19" spans="1:11" ht="30">
      <c r="A19" s="71" t="s">
        <v>691</v>
      </c>
      <c r="B19" s="42"/>
      <c r="C19" s="42">
        <v>120</v>
      </c>
      <c r="D19" s="42"/>
      <c r="E19" s="42"/>
      <c r="F19" s="42">
        <v>170</v>
      </c>
      <c r="G19" s="42"/>
      <c r="H19" s="42">
        <f>190</f>
        <v>190</v>
      </c>
      <c r="I19" s="42">
        <v>50</v>
      </c>
      <c r="J19" s="42">
        <v>120</v>
      </c>
      <c r="K19" s="42"/>
    </row>
    <row r="20" spans="1:11" ht="30">
      <c r="A20" s="71" t="s">
        <v>710</v>
      </c>
      <c r="B20" s="42"/>
      <c r="C20" s="42"/>
      <c r="D20" s="42"/>
      <c r="E20" s="42"/>
      <c r="F20" s="42"/>
      <c r="G20" s="42"/>
      <c r="H20" s="42">
        <f>219+161</f>
        <v>380</v>
      </c>
      <c r="I20" s="42"/>
      <c r="J20" s="42"/>
      <c r="K20" s="42"/>
    </row>
    <row r="21" spans="1:11" ht="30">
      <c r="A21" s="71" t="s">
        <v>832</v>
      </c>
      <c r="B21" s="42"/>
      <c r="C21" s="42"/>
      <c r="D21" s="42"/>
      <c r="E21" s="42"/>
      <c r="F21" s="42">
        <v>24</v>
      </c>
      <c r="G21" s="42"/>
      <c r="H21" s="42">
        <v>-24</v>
      </c>
      <c r="I21" s="42"/>
      <c r="J21" s="42"/>
      <c r="K21" s="42"/>
    </row>
    <row r="22" spans="1:11" ht="30">
      <c r="A22" s="68" t="s">
        <v>692</v>
      </c>
      <c r="B22" s="42"/>
      <c r="C22" s="42">
        <v>-173</v>
      </c>
      <c r="D22" s="42"/>
      <c r="E22" s="42"/>
      <c r="F22" s="42">
        <v>173</v>
      </c>
      <c r="G22" s="42"/>
      <c r="H22" s="42"/>
      <c r="I22" s="42"/>
      <c r="J22" s="42"/>
      <c r="K22" s="42"/>
    </row>
    <row r="23" spans="1:11" ht="30">
      <c r="A23" s="68" t="s">
        <v>693</v>
      </c>
      <c r="B23" s="42"/>
      <c r="C23" s="42"/>
      <c r="D23" s="42"/>
      <c r="E23" s="42"/>
      <c r="F23" s="42">
        <v>223.25</v>
      </c>
      <c r="G23" s="42"/>
      <c r="H23" s="42"/>
      <c r="I23" s="42"/>
      <c r="J23" s="42"/>
      <c r="K23" s="42"/>
    </row>
    <row r="24" spans="1:11" ht="30">
      <c r="A24" s="197" t="s">
        <v>706</v>
      </c>
      <c r="B24" s="42">
        <v>360</v>
      </c>
      <c r="C24" s="42">
        <v>2800</v>
      </c>
      <c r="D24" s="136"/>
      <c r="E24" s="42">
        <v>400</v>
      </c>
      <c r="F24" s="42">
        <v>5550</v>
      </c>
      <c r="G24" s="42">
        <v>400</v>
      </c>
      <c r="H24" s="42"/>
      <c r="I24" s="42"/>
      <c r="J24" s="42">
        <v>1000</v>
      </c>
      <c r="K24" s="42"/>
    </row>
    <row r="25" spans="1:12" ht="45">
      <c r="A25" s="68" t="s">
        <v>711</v>
      </c>
      <c r="B25" s="42"/>
      <c r="C25" s="42"/>
      <c r="D25" s="42">
        <v>-1816</v>
      </c>
      <c r="E25" s="42"/>
      <c r="F25" s="42"/>
      <c r="G25" s="42"/>
      <c r="H25" s="42"/>
      <c r="I25" s="42"/>
      <c r="J25" s="42"/>
      <c r="K25" s="42"/>
      <c r="L25" s="120"/>
    </row>
    <row r="26" spans="1:12" ht="45">
      <c r="A26" s="68" t="s">
        <v>725</v>
      </c>
      <c r="B26" s="42"/>
      <c r="C26" s="42"/>
      <c r="D26" s="42"/>
      <c r="E26" s="42"/>
      <c r="F26" s="42">
        <v>450</v>
      </c>
      <c r="G26" s="42"/>
      <c r="H26" s="42"/>
      <c r="I26" s="42"/>
      <c r="J26" s="42"/>
      <c r="K26" s="42"/>
      <c r="L26" s="25"/>
    </row>
    <row r="27" spans="1:11" ht="30">
      <c r="A27" s="130" t="s">
        <v>738</v>
      </c>
      <c r="B27" s="42"/>
      <c r="C27" s="42"/>
      <c r="D27" s="42">
        <v>2849</v>
      </c>
      <c r="E27" s="42">
        <v>1437</v>
      </c>
      <c r="F27" s="42">
        <v>4318</v>
      </c>
      <c r="G27" s="42">
        <v>1500</v>
      </c>
      <c r="H27" s="42">
        <v>4161</v>
      </c>
      <c r="I27" s="42"/>
      <c r="J27" s="42">
        <v>1437</v>
      </c>
      <c r="K27" s="42"/>
    </row>
    <row r="28" spans="1:11" ht="45">
      <c r="A28" s="303" t="s">
        <v>807</v>
      </c>
      <c r="B28" s="42"/>
      <c r="C28" s="136"/>
      <c r="D28" s="136"/>
      <c r="E28" s="136"/>
      <c r="F28" s="42"/>
      <c r="G28" s="42"/>
      <c r="H28" s="42">
        <v>2665</v>
      </c>
      <c r="I28" s="42"/>
      <c r="J28" s="42"/>
      <c r="K28" s="42"/>
    </row>
    <row r="29" spans="1:11" ht="15">
      <c r="A29" s="303" t="s">
        <v>831</v>
      </c>
      <c r="B29" s="42"/>
      <c r="C29" s="136"/>
      <c r="D29" s="136"/>
      <c r="E29" s="136"/>
      <c r="F29" s="42">
        <v>11500</v>
      </c>
      <c r="G29" s="42"/>
      <c r="H29" s="42"/>
      <c r="I29" s="42"/>
      <c r="J29" s="42"/>
      <c r="K29" s="42"/>
    </row>
    <row r="30" spans="1:11" ht="30">
      <c r="A30" s="303" t="s">
        <v>833</v>
      </c>
      <c r="B30" s="42"/>
      <c r="C30" s="136"/>
      <c r="D30" s="136"/>
      <c r="E30" s="136"/>
      <c r="F30" s="42"/>
      <c r="G30" s="42"/>
      <c r="H30" s="42"/>
      <c r="I30" s="42"/>
      <c r="J30" s="42">
        <f>300+300</f>
        <v>600</v>
      </c>
      <c r="K30" s="42"/>
    </row>
    <row r="31" spans="1:11" ht="15">
      <c r="A31" s="12" t="s">
        <v>830</v>
      </c>
      <c r="B31" s="522">
        <v>4306</v>
      </c>
      <c r="C31" s="42">
        <v>5680</v>
      </c>
      <c r="D31" s="42"/>
      <c r="E31" s="42"/>
      <c r="F31" s="42"/>
      <c r="G31" s="42"/>
      <c r="H31" s="42"/>
      <c r="I31" s="42"/>
      <c r="J31" s="42"/>
      <c r="K31" s="42"/>
    </row>
    <row r="32" spans="1:11" ht="30">
      <c r="A32" s="68" t="s">
        <v>858</v>
      </c>
      <c r="B32" s="42"/>
      <c r="C32" s="42"/>
      <c r="D32" s="42"/>
      <c r="E32" s="42"/>
      <c r="F32" s="42"/>
      <c r="G32" s="42"/>
      <c r="H32" s="42">
        <v>-3069</v>
      </c>
      <c r="I32" s="42">
        <v>3069</v>
      </c>
      <c r="J32" s="42"/>
      <c r="K32" s="42"/>
    </row>
    <row r="33" spans="1:13" ht="15" outlineLevel="1">
      <c r="A33" s="42"/>
      <c r="B33" s="35"/>
      <c r="C33" s="35"/>
      <c r="D33" s="35"/>
      <c r="E33" s="35"/>
      <c r="F33" s="35"/>
      <c r="G33" s="113"/>
      <c r="H33" s="80"/>
      <c r="I33" s="80"/>
      <c r="J33" s="35"/>
      <c r="K33" s="35"/>
      <c r="M33" s="13"/>
    </row>
    <row r="34" spans="1:13" ht="15">
      <c r="A34" s="46" t="s">
        <v>219</v>
      </c>
      <c r="B34" s="45">
        <f>SUM(B17:B33)</f>
        <v>5005</v>
      </c>
      <c r="C34" s="45">
        <f>SUM(C17:C33)</f>
        <v>8427</v>
      </c>
      <c r="D34" s="45">
        <f aca="true" t="shared" si="2" ref="D34:K34">SUM(D17:D33)</f>
        <v>1033</v>
      </c>
      <c r="E34" s="45">
        <f t="shared" si="2"/>
        <v>1837</v>
      </c>
      <c r="F34" s="45">
        <f t="shared" si="2"/>
        <v>22594.25</v>
      </c>
      <c r="G34" s="45">
        <f t="shared" si="2"/>
        <v>1900</v>
      </c>
      <c r="H34" s="45">
        <f>SUM(H17:H33)</f>
        <v>6070</v>
      </c>
      <c r="I34" s="45">
        <f>SUM(I17:I33)</f>
        <v>3119</v>
      </c>
      <c r="J34" s="45">
        <f t="shared" si="2"/>
        <v>3157</v>
      </c>
      <c r="K34" s="45">
        <f t="shared" si="2"/>
        <v>0</v>
      </c>
      <c r="M34" s="13"/>
    </row>
    <row r="35" ht="15">
      <c r="F35" s="58"/>
    </row>
    <row r="36" ht="15">
      <c r="A36" s="29" t="s">
        <v>902</v>
      </c>
    </row>
    <row r="37" spans="12:17" ht="12.75">
      <c r="L37" s="47"/>
      <c r="Q37" s="56"/>
    </row>
    <row r="38" ht="12.75">
      <c r="Q38" s="56"/>
    </row>
    <row r="39" ht="12.75">
      <c r="Q39" s="56"/>
    </row>
    <row r="40" ht="12.75">
      <c r="Q40" s="56"/>
    </row>
    <row r="41" ht="12.75">
      <c r="Q41" s="56"/>
    </row>
    <row r="42" ht="12.75">
      <c r="Q42" s="56"/>
    </row>
    <row r="43" ht="12.75">
      <c r="Q43" s="56"/>
    </row>
    <row r="44" ht="12.75">
      <c r="Q44" s="56"/>
    </row>
  </sheetData>
  <sheetProtection/>
  <printOptions/>
  <pageMargins left="0" right="0" top="0.5905511811023623" bottom="0.5905511811023623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8"/>
  <sheetViews>
    <sheetView zoomScale="115" zoomScaleNormal="115" zoomScalePageLayoutView="0" workbookViewId="0" topLeftCell="A1">
      <selection activeCell="A68" sqref="A68"/>
    </sheetView>
  </sheetViews>
  <sheetFormatPr defaultColWidth="9.140625" defaultRowHeight="12.75"/>
  <cols>
    <col min="1" max="1" width="9.140625" style="47" customWidth="1"/>
  </cols>
  <sheetData>
    <row r="1" ht="12.75">
      <c r="A1" s="47">
        <v>160698</v>
      </c>
    </row>
    <row r="2" ht="12.75">
      <c r="A2" s="47">
        <v>45788</v>
      </c>
    </row>
    <row r="3" ht="12.75">
      <c r="A3" s="47">
        <v>23648</v>
      </c>
    </row>
    <row r="4" ht="12.75">
      <c r="A4" s="47">
        <v>49835</v>
      </c>
    </row>
    <row r="5" ht="12.75">
      <c r="A5" s="47">
        <v>56534</v>
      </c>
    </row>
    <row r="6" ht="12.75">
      <c r="A6" s="47">
        <v>57063</v>
      </c>
    </row>
    <row r="7" ht="12.75">
      <c r="A7" s="47">
        <v>3356</v>
      </c>
    </row>
    <row r="8" ht="12.75">
      <c r="A8" s="47">
        <v>108138</v>
      </c>
    </row>
    <row r="9" ht="12.75">
      <c r="A9" s="47">
        <v>4040</v>
      </c>
    </row>
    <row r="10" ht="12.75">
      <c r="A10" s="47">
        <v>2500</v>
      </c>
    </row>
    <row r="11" ht="12.75">
      <c r="A11" s="47">
        <v>31568</v>
      </c>
    </row>
    <row r="12" ht="12.75">
      <c r="A12" s="47">
        <v>1364</v>
      </c>
    </row>
    <row r="13" ht="12.75">
      <c r="A13" s="47">
        <v>142212</v>
      </c>
    </row>
    <row r="14" ht="12.75">
      <c r="A14" s="47">
        <v>2404</v>
      </c>
    </row>
    <row r="15" ht="12.75">
      <c r="A15" s="47">
        <v>3288</v>
      </c>
    </row>
    <row r="16" ht="12.75">
      <c r="A16" s="47">
        <v>2096</v>
      </c>
    </row>
    <row r="17" ht="12.75">
      <c r="A17" s="47">
        <v>77205</v>
      </c>
    </row>
    <row r="18" ht="12.75">
      <c r="A18" s="47">
        <v>5748</v>
      </c>
    </row>
    <row r="19" ht="12.75">
      <c r="A19" s="47">
        <v>36443</v>
      </c>
    </row>
    <row r="20" ht="12.75">
      <c r="A20" s="47">
        <v>2812</v>
      </c>
    </row>
    <row r="21" ht="12.75">
      <c r="A21" s="47">
        <v>48258</v>
      </c>
    </row>
    <row r="22" ht="12.75">
      <c r="A22" s="47">
        <v>21235</v>
      </c>
    </row>
    <row r="23" ht="12.75">
      <c r="A23" s="47">
        <v>45116</v>
      </c>
    </row>
    <row r="24" ht="12.75">
      <c r="A24" s="47">
        <v>6764</v>
      </c>
    </row>
    <row r="25" ht="12.75">
      <c r="A25" s="47">
        <v>20313</v>
      </c>
    </row>
    <row r="26" ht="12.75">
      <c r="A26" s="47">
        <v>43020</v>
      </c>
    </row>
    <row r="27" ht="12.75">
      <c r="A27" s="47">
        <v>35144</v>
      </c>
    </row>
    <row r="28" ht="12.75">
      <c r="A28" s="47">
        <v>41748</v>
      </c>
    </row>
    <row r="29" ht="12.75">
      <c r="A29" s="47">
        <v>42664</v>
      </c>
    </row>
    <row r="30" ht="12.75">
      <c r="A30" s="47">
        <v>44100</v>
      </c>
    </row>
    <row r="31" ht="12.75">
      <c r="A31" s="47">
        <v>39428</v>
      </c>
    </row>
    <row r="32" ht="12.75">
      <c r="A32" s="47">
        <v>64720</v>
      </c>
    </row>
    <row r="33" ht="12.75">
      <c r="A33" s="47">
        <v>27808</v>
      </c>
    </row>
    <row r="34" ht="12.75">
      <c r="A34" s="47">
        <v>22012</v>
      </c>
    </row>
    <row r="35" ht="12.75">
      <c r="A35" s="47">
        <v>2600</v>
      </c>
    </row>
    <row r="36" ht="12.75">
      <c r="A36" s="47">
        <v>4800</v>
      </c>
    </row>
    <row r="37" ht="12.75">
      <c r="A37" s="47">
        <v>1424</v>
      </c>
    </row>
    <row r="38" ht="12.75">
      <c r="A38" s="47">
        <v>10392</v>
      </c>
    </row>
    <row r="39" ht="12.75">
      <c r="A39" s="47">
        <v>12104</v>
      </c>
    </row>
    <row r="40" ht="12.75">
      <c r="A40" s="47">
        <v>17244</v>
      </c>
    </row>
    <row r="41" ht="12.75">
      <c r="A41" s="47">
        <v>5072</v>
      </c>
    </row>
    <row r="42" ht="12.75">
      <c r="A42" s="47">
        <v>32984</v>
      </c>
    </row>
    <row r="43" ht="12.75">
      <c r="A43" s="47">
        <v>5090</v>
      </c>
    </row>
    <row r="44" ht="12.75">
      <c r="A44" s="47">
        <v>7107</v>
      </c>
    </row>
    <row r="45" ht="12.75">
      <c r="A45" s="47">
        <v>12988</v>
      </c>
    </row>
    <row r="46" ht="12.75">
      <c r="A46" s="47">
        <v>979</v>
      </c>
    </row>
    <row r="47" ht="12.75">
      <c r="A47" s="47">
        <v>68568</v>
      </c>
    </row>
    <row r="48" ht="12.75">
      <c r="A48" s="47">
        <v>64600</v>
      </c>
    </row>
    <row r="49" ht="12.75">
      <c r="A49" s="47">
        <v>868</v>
      </c>
    </row>
    <row r="50" ht="12.75">
      <c r="A50" s="47">
        <v>7028</v>
      </c>
    </row>
    <row r="51" ht="12.75">
      <c r="A51" s="47">
        <v>12988</v>
      </c>
    </row>
    <row r="52" ht="12.75">
      <c r="A52" s="47">
        <v>18761</v>
      </c>
    </row>
    <row r="53" ht="12.75">
      <c r="A53" s="47">
        <v>8419</v>
      </c>
    </row>
    <row r="54" ht="12.75">
      <c r="A54" s="47">
        <v>49610</v>
      </c>
    </row>
    <row r="55" ht="12.75">
      <c r="A55" s="47">
        <v>40886</v>
      </c>
    </row>
    <row r="56" ht="12.75">
      <c r="A56" s="47">
        <v>22193</v>
      </c>
    </row>
    <row r="57" ht="12.75">
      <c r="A57" s="47">
        <v>5433</v>
      </c>
    </row>
    <row r="58" ht="12.75">
      <c r="A58" s="47">
        <v>2878</v>
      </c>
    </row>
    <row r="59" ht="12.75">
      <c r="A59" s="47">
        <v>924390</v>
      </c>
    </row>
    <row r="60" ht="12.75">
      <c r="A60" s="47">
        <v>3954</v>
      </c>
    </row>
    <row r="61" ht="12.75">
      <c r="A61" s="47">
        <v>3300</v>
      </c>
    </row>
    <row r="62" ht="12.75">
      <c r="A62" s="47">
        <v>7200</v>
      </c>
    </row>
    <row r="63" ht="12.75">
      <c r="A63" s="47">
        <v>4082</v>
      </c>
    </row>
    <row r="64" ht="12.75">
      <c r="A64" s="47">
        <v>1112557</v>
      </c>
    </row>
    <row r="65" ht="12.75">
      <c r="A65" s="47">
        <v>4001</v>
      </c>
    </row>
    <row r="66" ht="12.75">
      <c r="A66" s="47">
        <v>15845</v>
      </c>
    </row>
    <row r="67" ht="12.75">
      <c r="A67" s="47">
        <v>2575</v>
      </c>
    </row>
    <row r="68" ht="12.75">
      <c r="A68" s="204">
        <f>SUM(A1:A67)</f>
        <v>3811990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Baiba Trumekalne</cp:lastModifiedBy>
  <cp:lastPrinted>2019-10-09T07:47:27Z</cp:lastPrinted>
  <dcterms:created xsi:type="dcterms:W3CDTF">2006-04-20T10:34:24Z</dcterms:created>
  <dcterms:modified xsi:type="dcterms:W3CDTF">2019-10-23T12:06:32Z</dcterms:modified>
  <cp:category/>
  <cp:version/>
  <cp:contentType/>
  <cp:contentStatus/>
</cp:coreProperties>
</file>