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55" windowHeight="7590" activeTab="3"/>
  </bookViews>
  <sheets>
    <sheet name="Pamatbudžets   " sheetId="1" r:id="rId1"/>
    <sheet name="Specbudžets" sheetId="2" r:id="rId2"/>
    <sheet name="Specb pa veidiem" sheetId="3" r:id="rId3"/>
    <sheet name="Ziedojumi un dāvinājumi" sheetId="4" r:id="rId4"/>
  </sheet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<sst xmlns="http://schemas.openxmlformats.org/spreadsheetml/2006/main" count="820" uniqueCount="510">
  <si>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</si>
  <si>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</si>
  <si>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</si>
  <si>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</si>
  <si>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</si>
  <si>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</si>
  <si>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</si>
  <si>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</si>
  <si>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</si>
  <si>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 xml:space="preserve">   Ieņēmuma pozīcijas nosaukums             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</si>
  <si>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</si>
  <si>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</si>
  <si>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</si>
  <si>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</si>
  <si>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</si>
  <si>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</si>
  <si>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</si>
  <si>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</si>
  <si>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</si>
  <si>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</si>
  <si>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</si>
  <si>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Kredīta atmaksa</t>
  </si>
  <si>
    <t>Finanšu - ekonomikas nodaļas vadītāja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</si>
  <si>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</si>
  <si>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</si>
  <si>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</si>
  <si>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</si>
  <si>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</si>
  <si>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</si>
  <si>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</si>
  <si>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</si>
  <si>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</si>
  <si>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</si>
  <si>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</si>
  <si>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</si>
  <si>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</si>
  <si>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</si>
  <si>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</si>
  <si>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</si>
  <si>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</si>
  <si>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</si>
  <si>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</si>
  <si>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</si>
  <si>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</si>
  <si>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</si>
  <si>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</si>
  <si>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</si>
  <si>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</si>
  <si>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</si>
  <si>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</si>
  <si>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</si>
  <si>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</si>
  <si>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</si>
  <si>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</si>
  <si>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</si>
  <si>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</si>
  <si>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</si>
  <si>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</si>
  <si>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</si>
  <si>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</si>
  <si>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</si>
  <si>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</si>
  <si>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</si>
  <si>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Līdzekļi, kas nododami finanšu izlīdzināšanas fondam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</si>
  <si>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</si>
  <si>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</si>
  <si>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</si>
  <si>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</si>
  <si>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</si>
  <si>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</si>
  <si>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</si>
  <si>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</si>
  <si>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</si>
  <si>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</si>
  <si>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</si>
  <si>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</si>
  <si>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</si>
  <si>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</si>
  <si>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</si>
  <si>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</si>
  <si>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04.730</t>
  </si>
  <si>
    <t>Tūrisms</t>
  </si>
  <si>
    <t>Vides aizsardzība</t>
  </si>
  <si>
    <t>05.100</t>
  </si>
  <si>
    <t>Atkritumu apsaimniekošana</t>
  </si>
  <si>
    <t>Notekūdeņu apsaimniekošana</t>
  </si>
  <si>
    <t xml:space="preserve">       Notekūdeņu (savākšana un attīrīšana)</t>
  </si>
  <si>
    <t>Pašvaldības teritoriju un mājokļu apsaimniekošana</t>
  </si>
  <si>
    <t>06.200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</si>
  <si>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</si>
  <si>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</si>
  <si>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</si>
  <si>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</si>
  <si>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</si>
  <si>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</si>
  <si>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</si>
  <si>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</si>
  <si>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</si>
  <si>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 xml:space="preserve">       PA "Dziednīca"</t>
  </si>
  <si>
    <t xml:space="preserve">       Finansējums PA "Dziednīca"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</si>
  <si>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</si>
  <si>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</si>
  <si>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</si>
  <si>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</si>
  <si>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</si>
  <si>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</si>
  <si>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08.210</t>
  </si>
  <si>
    <t>08.220</t>
  </si>
  <si>
    <t>08.230</t>
  </si>
  <si>
    <t>08.290</t>
  </si>
  <si>
    <t>Televīzija</t>
  </si>
  <si>
    <t>08.330</t>
  </si>
  <si>
    <t>Izdevniecība ( Novada informatīvie izdevumi )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</si>
  <si>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</si>
  <si>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</si>
  <si>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</si>
  <si>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</si>
  <si>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</si>
  <si>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</si>
  <si>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</si>
  <si>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</si>
  <si>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</si>
  <si>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</si>
  <si>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</si>
  <si>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</si>
  <si>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</si>
  <si>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</si>
  <si>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</si>
  <si>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</si>
  <si>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</si>
  <si>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</si>
  <si>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</si>
  <si>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</si>
  <si>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</si>
  <si>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</si>
  <si>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</si>
  <si>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</si>
  <si>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Invalīdu biedrības Ogres nodaļa</t>
  </si>
  <si>
    <t>Neredzīgo biedrības Ogres nodaļa</t>
  </si>
  <si>
    <t>Politiski represēto klubam</t>
  </si>
  <si>
    <t>Basketbola skola</t>
  </si>
  <si>
    <t>Nemateriālie ieguldījumi</t>
  </si>
  <si>
    <t>13.0.0.0.</t>
  </si>
  <si>
    <t xml:space="preserve">       Lietus ūdens kanalizācija </t>
  </si>
  <si>
    <t xml:space="preserve">      Nevalstisko org.projektu atbalstam</t>
  </si>
  <si>
    <t xml:space="preserve">    Muzeji un izstādes</t>
  </si>
  <si>
    <t xml:space="preserve">          Gaidu un skautu muzejs</t>
  </si>
  <si>
    <t xml:space="preserve">    Finansējums PA "Ogres kultūras centrs"</t>
  </si>
  <si>
    <t xml:space="preserve">    Kultūras pasākumi</t>
  </si>
  <si>
    <t xml:space="preserve">    Pilsētas dekorēšana svētkiem</t>
  </si>
  <si>
    <t xml:space="preserve">    Pensionēto izglītības darbinieku pasāk.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</si>
  <si>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</si>
  <si>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</si>
  <si>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</si>
  <si>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</si>
  <si>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</si>
  <si>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</si>
  <si>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</si>
  <si>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</si>
  <si>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</si>
  <si>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</si>
  <si>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</si>
  <si>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10.3.0.0.</t>
  </si>
  <si>
    <t>Soda sankcijas par vispārējiem nodokļu maksāšanas pārkāpumiem</t>
  </si>
  <si>
    <t>12.3.0.0.</t>
  </si>
  <si>
    <t>19.1.0.0.</t>
  </si>
  <si>
    <t>21.3.4.0.</t>
  </si>
  <si>
    <t>Procentu ieņēmumi par maksas pakalpojumu un citu pašu ieņēmumu ieguldījumiem depozītā vai kontu atlikumiem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</si>
  <si>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</si>
  <si>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</si>
  <si>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</si>
  <si>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</si>
  <si>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</si>
  <si>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 dokumentu izsniegšanu un kancelejas pakalpojumiem</t>
  </si>
  <si>
    <t>F40 32 00 10</t>
  </si>
  <si>
    <t>Attīstības programmas izstrādei</t>
  </si>
  <si>
    <t>04.430</t>
  </si>
  <si>
    <t>Būvvalde</t>
  </si>
  <si>
    <t>Ielu tīrīšanai, atkritumu savākšanai,teritoriju labiekārtošanai</t>
  </si>
  <si>
    <t xml:space="preserve">       Ūdenssaimn. TEP izstrāde Ogres nov.pag.</t>
  </si>
  <si>
    <t>Mājokļu attīstība pašvaldībā</t>
  </si>
  <si>
    <t>Energoefekt. paaugstin. pašvald. ēkās Dziedn., Bask-sk.,J v-sk.,Brīvības33</t>
  </si>
  <si>
    <t xml:space="preserve">      Pārējie izdevumi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</si>
  <si>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</si>
  <si>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</si>
  <si>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</si>
  <si>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</si>
  <si>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</si>
  <si>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</si>
  <si>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</si>
  <si>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Taurupes vidusskola</t>
  </si>
  <si>
    <t>Suntažu vidusskola</t>
  </si>
  <si>
    <t>Lauberes pamatskola</t>
  </si>
  <si>
    <t>Suntažu sanatorijas internātpamatskola</t>
  </si>
  <si>
    <t>Madlienas mūzikas un mākslas skola</t>
  </si>
  <si>
    <t>09.520</t>
  </si>
  <si>
    <t>Pedagogu profesionālās meistarības pilnveidošana</t>
  </si>
  <si>
    <t>ESF proj. Pedagogu konkurētspējas veicināšanai</t>
  </si>
  <si>
    <t>09.600</t>
  </si>
  <si>
    <t>Izglītības papildu pakalpojumi</t>
  </si>
  <si>
    <t>09.810</t>
  </si>
  <si>
    <t>10.500</t>
  </si>
  <si>
    <t>Atbalsts bezdarba gadījumā</t>
  </si>
  <si>
    <t xml:space="preserve">Sabiedriskās organizācijas </t>
  </si>
  <si>
    <t>Bērnu nams "Laubere"</t>
  </si>
  <si>
    <t>Pansionāts "Madliena"</t>
  </si>
  <si>
    <t>Latvijas nacionālo karavīru biedrība</t>
  </si>
  <si>
    <t>F40 32 00 20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</si>
  <si>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</si>
  <si>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</si>
  <si>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</si>
  <si>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</si>
  <si>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</si>
  <si>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>Procentu maksājumi iekšzemes kredītiestādēm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</si>
  <si>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</si>
  <si>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</si>
  <si>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</si>
  <si>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</si>
  <si>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</si>
  <si>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Zaudējumi no valūtas kursa svārstībām</t>
  </si>
  <si>
    <t>21.1.0.0.</t>
  </si>
  <si>
    <t xml:space="preserve">Budžeta iestādes ieņēmumi no ārvalstu finanšu palīdzības </t>
  </si>
  <si>
    <t xml:space="preserve">    Dalībai dziesmu un deju svētkos</t>
  </si>
  <si>
    <t>F56010000</t>
  </si>
  <si>
    <t>Kapitālieguldījumu fondu akcijas</t>
  </si>
  <si>
    <t>Atalgojums</t>
  </si>
  <si>
    <t>Projekts Skolēnu autobusi (Šveice)</t>
  </si>
  <si>
    <t>Projekts Skolēnu autobusi (Soc.droš.tīkls)</t>
  </si>
  <si>
    <t>10.400</t>
  </si>
  <si>
    <t>Atbalsts ģimenēm ar bērniem (Bāriņtiesas)</t>
  </si>
  <si>
    <t>Proj. "Speciālistu piesaiste"</t>
  </si>
  <si>
    <t xml:space="preserve">      PA "Ogres un Ikšķiles tūrisma attīstības aģentūra" </t>
  </si>
  <si>
    <t>Ūdenssaimniecības attīstības projekti pagastos</t>
  </si>
  <si>
    <t>F55 01 00 11</t>
  </si>
  <si>
    <t>Novadu kapacitāte</t>
  </si>
  <si>
    <t>18.6.0.0.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</si>
  <si>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</si>
  <si>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</si>
  <si>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</si>
  <si>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</si>
  <si>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</si>
  <si>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Pašvaldības iestāžu saņemtie transferti no augstākstāvošās iestādes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</si>
  <si>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</si>
  <si>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</si>
  <si>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</si>
  <si>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</si>
  <si>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</si>
  <si>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>01.8301</t>
  </si>
  <si>
    <t>01.8302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</si>
  <si>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</si>
  <si>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</si>
  <si>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</si>
  <si>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</si>
  <si>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</si>
  <si>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>04.11102</t>
  </si>
  <si>
    <t>04.11103</t>
  </si>
  <si>
    <t>04.11104</t>
  </si>
  <si>
    <t>Young Active Creative</t>
  </si>
  <si>
    <t>04.11105</t>
  </si>
  <si>
    <t>04.11106</t>
  </si>
  <si>
    <t>Projektu pieteikumu un Ogres novada Startēģijas izstrāde</t>
  </si>
  <si>
    <t>04.11107</t>
  </si>
  <si>
    <t>Starptautiskā Kapacitāte</t>
  </si>
  <si>
    <t>04.11108</t>
  </si>
  <si>
    <t>Pilsētu mēru pakts CONURBANT</t>
  </si>
  <si>
    <t xml:space="preserve">Lauksaimniecība </t>
  </si>
  <si>
    <t>04.51001</t>
  </si>
  <si>
    <t>04.51002</t>
  </si>
  <si>
    <t>04.51003</t>
  </si>
  <si>
    <t>Projekts Atbalsts novadu attīstībai ERAF (Brīvības ielas rekonstrukcija)</t>
  </si>
  <si>
    <t>04.51004</t>
  </si>
  <si>
    <t>Pārējais autotransports</t>
  </si>
  <si>
    <t>04.6001</t>
  </si>
  <si>
    <t>04.7301</t>
  </si>
  <si>
    <t>05.1001</t>
  </si>
  <si>
    <t>05.1002</t>
  </si>
  <si>
    <t>Proj. Sadzīves atkritumu izgāztuves ''Ķilupe'' rekultivācija</t>
  </si>
  <si>
    <t>05.1003</t>
  </si>
  <si>
    <t>Proj. RECO Baltic tech 21</t>
  </si>
  <si>
    <t>05.2001</t>
  </si>
  <si>
    <t>05.2002</t>
  </si>
  <si>
    <t>05.2003</t>
  </si>
  <si>
    <t>05.300</t>
  </si>
  <si>
    <t>Vides piesārņojuma novēršana un samazināšana</t>
  </si>
  <si>
    <t>05.30001</t>
  </si>
  <si>
    <t>05.400</t>
  </si>
  <si>
    <t>Bioloģiskās daudzveidības un ainavas aizsardzība</t>
  </si>
  <si>
    <t>Teritoriju attīstība ( projektēšanai )</t>
  </si>
  <si>
    <t>06.3001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</si>
  <si>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</si>
  <si>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</si>
  <si>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</si>
  <si>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</si>
  <si>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</si>
  <si>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</si>
  <si>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</si>
  <si>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</si>
  <si>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 xml:space="preserve">      Saimniecības nodaļa</t>
  </si>
  <si>
    <t>07.2101</t>
  </si>
  <si>
    <t>07.2102</t>
  </si>
  <si>
    <t>08.1001</t>
  </si>
  <si>
    <t>08.1002</t>
  </si>
  <si>
    <t>08.2201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</si>
  <si>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</si>
  <si>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</si>
  <si>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</si>
  <si>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</si>
  <si>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</si>
  <si>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</si>
  <si>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08.29004</t>
  </si>
  <si>
    <t>08.310</t>
  </si>
  <si>
    <t xml:space="preserve">Pirmsskolas izglītība 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</si>
  <si>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</si>
  <si>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</si>
  <si>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</si>
  <si>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</si>
  <si>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</si>
  <si>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</si>
  <si>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</si>
  <si>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</si>
  <si>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</si>
  <si>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</si>
  <si>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Finansējums bērniem, kuri apmeklē privātās pirmsskolas izglītūibas iestādes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</si>
  <si>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</si>
  <si>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</si>
  <si>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</si>
  <si>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</si>
  <si>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</si>
  <si>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</si>
  <si>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</si>
  <si>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</si>
  <si>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</si>
  <si>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</si>
  <si>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</si>
  <si>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09.21909</t>
  </si>
  <si>
    <t>09.21910</t>
  </si>
  <si>
    <t>09.5101</t>
  </si>
  <si>
    <t>09.5102</t>
  </si>
  <si>
    <t>09.5103</t>
  </si>
  <si>
    <t>09.5104</t>
  </si>
  <si>
    <t>09.5105</t>
  </si>
  <si>
    <t>09.5106</t>
  </si>
  <si>
    <t>09.5201</t>
  </si>
  <si>
    <t>09.5202</t>
  </si>
  <si>
    <t>Pārējā izglītības vadība (Izglītības un sporta pārvalde)</t>
  </si>
  <si>
    <t>Pārējā citur neklasificētā izglītība (izglītības projektu realizācija)</t>
  </si>
  <si>
    <t>09.82001</t>
  </si>
  <si>
    <t>09.82003</t>
  </si>
  <si>
    <t xml:space="preserve">         Projekts "Comenius " - Ģimnāzija</t>
  </si>
  <si>
    <t>09.82007</t>
  </si>
  <si>
    <t>09.82008</t>
  </si>
  <si>
    <t>09.82011</t>
  </si>
  <si>
    <t>09.82012</t>
  </si>
  <si>
    <t>10.70001</t>
  </si>
  <si>
    <t>10.70002</t>
  </si>
  <si>
    <t>10.70003</t>
  </si>
  <si>
    <t>Soc.dienas centra telpu uzturēšanai</t>
  </si>
  <si>
    <t>10.70004</t>
  </si>
  <si>
    <t>10.70005</t>
  </si>
  <si>
    <t>10.70006</t>
  </si>
  <si>
    <t>Pensionāru biedrību darbības atbalstam</t>
  </si>
  <si>
    <t>10.70007</t>
  </si>
  <si>
    <t>10.70008</t>
  </si>
  <si>
    <t>10.70009</t>
  </si>
  <si>
    <t>10.70010</t>
  </si>
  <si>
    <t>10.70011</t>
  </si>
  <si>
    <t>10.70012</t>
  </si>
  <si>
    <t>Līdzekļu atlikums uz gada beigām (Kases apgrozāmie līdzekļi )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</si>
  <si>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</si>
  <si>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</si>
  <si>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</si>
  <si>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Mācību, darba un dienesta komandējumi, dienesta, darba braucieni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</si>
  <si>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</si>
  <si>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</si>
  <si>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</si>
  <si>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</si>
  <si>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KF projekts "Normatīvo aktu prasībām neatbilstoša Ogres novada izgāztuves "Pinkas" rekultivācija(Krapes pagasts)</t>
  </si>
  <si>
    <t>05.1005</t>
  </si>
  <si>
    <t>08.29008</t>
  </si>
  <si>
    <t>06.100</t>
  </si>
  <si>
    <t>Taurupes Plaužu ezera pludmales labiekārtošanas darbi</t>
  </si>
  <si>
    <t>05.1006</t>
  </si>
  <si>
    <t>LAD Tautas tērpu iegāde Ogres novada Taurupes tautas nama deju kolektīvam</t>
  </si>
  <si>
    <t>10.70013</t>
  </si>
  <si>
    <t>Latvijas Sarkanā Krusta Ogres komiteja</t>
  </si>
  <si>
    <t>03.200</t>
  </si>
  <si>
    <t xml:space="preserve">Ogres un Ogresgala 2013.g. budžets </t>
  </si>
  <si>
    <t>Ogres novada pašvaldības 2013.gada budžeta ieņēmumi.</t>
  </si>
  <si>
    <t>Pašvald. aģentūras "Mālkalne" 2013.g. budžets</t>
  </si>
  <si>
    <t>Pašvald. aģentūras "Kultūras centrs" 2013.g. budžets</t>
  </si>
  <si>
    <t>Pašvald. aģentūras "Dziednīca" 2013.g. budžets</t>
  </si>
  <si>
    <t>PA "Ogres un Ikšķiles tūrisma attīst.aģent." 2013.g. budžets</t>
  </si>
  <si>
    <t>Suntažu pagasta pārvaldes 2013.g. budžets</t>
  </si>
  <si>
    <t>Lauberes pagasta pārvaldes 2013.g. budžets</t>
  </si>
  <si>
    <t>Ķeipenes pagasta pārvaldes 2013.g. budžets</t>
  </si>
  <si>
    <t>Madlienas pagasta pārvaldes 2013.g. budžets</t>
  </si>
  <si>
    <t>Krapes pagasta pārvaldes 2013.g. budžets</t>
  </si>
  <si>
    <t>Mazozolu pagasta pārvaldes 2013.g. budžets</t>
  </si>
  <si>
    <t>Meņģeles pagasta pārvaldes 2013.g. budžets</t>
  </si>
  <si>
    <t>Taurupes pagasta pārvaldes 2013.g. budžets</t>
  </si>
  <si>
    <t>Ogres novada pašvaldības 2013.g. budžets</t>
  </si>
  <si>
    <t>Ieņēmumi no pašvaldības īpašuma iznomāšanas, pārdošanas un nodokļu pamatparāda kapitaliz.</t>
  </si>
  <si>
    <t>Budžeta  atl.uz  01. 01. 2013.g.</t>
  </si>
  <si>
    <t>Ogres novada pašvaldības 2013. gada budžeta  izdevumi atbilstoši funkcionālajām kategorijām.</t>
  </si>
  <si>
    <t>Projekts Tīnūžu-Brīvības ielas rekonstrukcija 2.kārta</t>
  </si>
  <si>
    <t>04.51006</t>
  </si>
  <si>
    <t>ESTLAT Riverways Ogres upes promenāde</t>
  </si>
  <si>
    <t>05.30003</t>
  </si>
  <si>
    <t>Bērnudārzi Saulīte, Cīrulītis Energoefektivitāte 3</t>
  </si>
  <si>
    <t xml:space="preserve">       mājokļu apsaimniekošana</t>
  </si>
  <si>
    <t xml:space="preserve">       siltumapgāde</t>
  </si>
  <si>
    <t xml:space="preserve">       kapu saimniecība</t>
  </si>
  <si>
    <t xml:space="preserve">       Projekts "Veidojam vidi ap mums </t>
  </si>
  <si>
    <t xml:space="preserve">      Īpašumu uzmērīšanai un reģistrēšanai Zemesgrāmatā, mežaudžu vērtības aktualizācijai</t>
  </si>
  <si>
    <t xml:space="preserve">          Vēstures un mākslas muzejs</t>
  </si>
  <si>
    <t>08.29009</t>
  </si>
  <si>
    <t>Projekts ……</t>
  </si>
  <si>
    <t>PII infrastruktūras attīstība Ogres novadā (Kamolins)</t>
  </si>
  <si>
    <t>Ugunsaizsardzības sistēmas</t>
  </si>
  <si>
    <t>Ogres novada Krusts</t>
  </si>
  <si>
    <t>Ogres novada pašvaldības 2013. gada budžeta  izdevumi atbilstoši ekonomiskajām kategorijām.</t>
  </si>
  <si>
    <t>Kapitālo izdevumu transferti</t>
  </si>
  <si>
    <t>Zivju fonda projekts Strauta foreļu populācijas papildināšana Ogres upēs</t>
  </si>
  <si>
    <t>05.4001</t>
  </si>
  <si>
    <t>PSIA " MS siltums" pamatkapitāls</t>
  </si>
  <si>
    <t>Ugunsdrošības, glābšanas un civilās drošības dienesti</t>
  </si>
  <si>
    <t>09.82014</t>
  </si>
  <si>
    <t>Sporta inventāra iegāde Ogres vispārējās vidējās izglītības iestādēm</t>
  </si>
  <si>
    <t>09.82015</t>
  </si>
  <si>
    <t>Ogres novada Meņģeles, Mazozolu un Taurupes pagasta sporta aktivitāšu un infrastruktūras uzlabošana</t>
  </si>
  <si>
    <t>09.82016</t>
  </si>
  <si>
    <t>01.600</t>
  </si>
  <si>
    <t>Pārējie iepriekš neklasificētie vispārējie valdības dienesti</t>
  </si>
  <si>
    <t xml:space="preserve"> COMENIUS Regio apakšprogrammas projekta “Outdoor Learning 4 All” </t>
  </si>
  <si>
    <t xml:space="preserve">         Projekts "Comenius " -Ogres sākumskola</t>
  </si>
  <si>
    <t>21.4.0.0.</t>
  </si>
  <si>
    <t>21.4.9.0.</t>
  </si>
  <si>
    <t>Pārējie iepriekš neklasificētie budžeta iestāžu ieņēmumi</t>
  </si>
  <si>
    <t>Citi iepriekš neklasificētie pašu ieņēmumi</t>
  </si>
  <si>
    <t>Ogres novada pašvaldības</t>
  </si>
  <si>
    <t>19.12.2013. saistošajiem noteikumiem Nr.61/2013</t>
  </si>
  <si>
    <t>Pielikums Nr.3</t>
  </si>
  <si>
    <t>Ogres novada pašvaldības 2013.gada speciālā budžeta ieņēmumi.</t>
  </si>
  <si>
    <t>5.5.3.0.</t>
  </si>
  <si>
    <t>Dabas resursu nodoklis</t>
  </si>
  <si>
    <t>8.6.2.0.</t>
  </si>
  <si>
    <t>Procentu ieņēmumi par kontu atlikumiem</t>
  </si>
  <si>
    <t>12.3.9.0.</t>
  </si>
  <si>
    <t>Citi dažādi nenodokļu ieņēmumi</t>
  </si>
  <si>
    <t xml:space="preserve">18.6.2.0. </t>
  </si>
  <si>
    <t>Pašvaldību saņemtie valsts budžeta transferti noteiktam mērķim</t>
  </si>
  <si>
    <t>F20010000</t>
  </si>
  <si>
    <t>Ogres novada pašvaldības 2013. gada speciālā budžeta  izdevumi atbilstoši funkcionālajām kategorijām.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</si>
  <si>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</si>
  <si>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</si>
  <si>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</si>
  <si>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</si>
  <si>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</si>
  <si>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</si>
  <si>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F40 02 00 20</t>
  </si>
  <si>
    <t>Atlikums gada beigās</t>
  </si>
  <si>
    <t>Darba samaksa</t>
  </si>
  <si>
    <t>Darba devēja valsts sociālās apdrošināšanas obligātās iemaksas, sociālā rakstura pabalsti un kompensācija</t>
  </si>
  <si>
    <t>Subsīdijas komersantiem, sabiedriskajām org. un citām institūcijām</t>
  </si>
  <si>
    <t>Pašvaldību budžeta uzturēšanas izdevumu transferti</t>
  </si>
  <si>
    <t>Ogres novada</t>
  </si>
  <si>
    <t xml:space="preserve">2013.gada speciālo budžetu </t>
  </si>
  <si>
    <t>kopsavilkums</t>
  </si>
  <si>
    <t>Budžeta nosaukumi</t>
  </si>
  <si>
    <t>Autoceļu (ielu) fonds</t>
  </si>
  <si>
    <t>Pārējie ieņēmumi</t>
  </si>
  <si>
    <t>Kopā           (Ls)</t>
  </si>
  <si>
    <t>2013.gada ieņēmumi</t>
  </si>
  <si>
    <t>Atlikums uz 01.01.2013.</t>
  </si>
  <si>
    <t>Pavisam ieņēmumi 2013.g.</t>
  </si>
  <si>
    <t>Izdevumi 2013.g.</t>
  </si>
  <si>
    <t>tai sk. Atalgojums (1100)</t>
  </si>
  <si>
    <t>Soc.nod.(1200)</t>
  </si>
  <si>
    <t>Atlikums uz 01.01.2014.g.</t>
  </si>
  <si>
    <t>Finanšu – ekonomikas nodaļas vadītāja</t>
  </si>
  <si>
    <t>S. Velberga</t>
  </si>
  <si>
    <t>Ogres novada Suntažu pagasta pārvaldes</t>
  </si>
  <si>
    <t>2013.gada speciālo budžetu kopsavilkums</t>
  </si>
  <si>
    <t>Kopā Ls</t>
  </si>
  <si>
    <t>Ogres novada Suntažu pagasta pārvaldes vadītājs:                    A.Ronis</t>
  </si>
  <si>
    <t>Ogres novada Madlienas pagasta pārvaldes</t>
  </si>
  <si>
    <t>Ogres novada Madlienas pagasta pārvaldes vadītājs:                                  O.Atslēdziņš</t>
  </si>
  <si>
    <t>Ogres novada Meņģeles pagasta pārvaldes</t>
  </si>
  <si>
    <t>Ogres novada Meņģeles pagasta pārvaldes vadītājs:                              I.Jermacāne</t>
  </si>
  <si>
    <t>Ogres novada Ķeipenes pagasta pārvaldes</t>
  </si>
  <si>
    <t>F40 02 00 20 Kredīta atmaksa</t>
  </si>
  <si>
    <t>Ogres novada Ķeipenes pagasta pārvaldes vadītājs:                            V.Sirsonis</t>
  </si>
  <si>
    <t>Ogres novada Taurupes pagasta pārvaldes</t>
  </si>
  <si>
    <t>Ogres novada Taurupes pagasta pārvaldes vadītājs:                               J.Stafeckis</t>
  </si>
  <si>
    <t>Ogres novada Mazozolu pagasta pārvaldes</t>
  </si>
  <si>
    <t>Ogres novada Mazozolu pagasta pārvaldes vadītājs:                               J.Stafeckis</t>
  </si>
  <si>
    <t>Ogres novada Lauberes pagasta pārvaldes</t>
  </si>
  <si>
    <t>Ogres novada Lauberes pagasta pārvaldes vadītājs:                                    A.Misters</t>
  </si>
  <si>
    <t>Ogres novada Krapes pagasta pārvaldes</t>
  </si>
  <si>
    <t>Ogres novada Krapes pagasta pārvaldes vadītājs:                                           I.Sandore</t>
  </si>
  <si>
    <t>Pielikums Nr.4</t>
  </si>
  <si>
    <t>Ogres novada pašvaldības 2013.gada ziedojumu un dāvinālumu ieņēmumi.</t>
  </si>
  <si>
    <t>Ogres novada 2012.g. izpilde</t>
  </si>
  <si>
    <t xml:space="preserve">Ogres un Ogregala 2013.g. budžets </t>
  </si>
  <si>
    <t>Pašvald. aģentūras "Ogres novada kultūras centrs" 2013.g. budžets</t>
  </si>
  <si>
    <t>23.0.0.0.</t>
  </si>
  <si>
    <t>Saņemtie ziedojumi un dāvinājumi</t>
  </si>
  <si>
    <t>Ogres novada pašvaldības 2013. gada ziedojumu un dāvinājumu  izdevumi atbilstoši funkcionālajām kategorijām.</t>
  </si>
  <si>
    <t>Aile kontrolei</t>
  </si>
  <si>
    <t>Ogres novada pašvaldības 2013. gada ziedojumu un dāvinājumu  izdevumi atbilstoši ekonomiskajām kategorijām.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</si>
</sst>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"/>
    <numFmt numFmtId="182" formatCode="0.000"/>
    <numFmt numFmtId="183" formatCode="0.0%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#,##0.0"/>
    <numFmt numFmtId="191" formatCode="_-* #,##0.0_-;\-* #,##0.0_-;_-* &quot;-&quot;??_-;_-@_-"/>
    <numFmt numFmtId="192" formatCode="_-* #,##0_-;\-* #,##0_-;_-* &quot;-&quot;??_-;_-@_-"/>
    <numFmt numFmtId="193" formatCode="_-&quot;Ls&quot;\ * #,##0.0_-;\-&quot;Ls&quot;\ * #,##0.0_-;_-&quot;Ls&quot;\ * &quot;-&quot;??_-;_-@_-"/>
    <numFmt numFmtId="194" formatCode="_-&quot;Ls&quot;\ * #,##0_-;\-&quot;Ls&quot;\ * #,##0_-;_-&quot;Ls&quot;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"/>
    <numFmt numFmtId="199" formatCode="000000"/>
    <numFmt numFmtId="200" formatCode="dd/mm/yy"/>
    <numFmt numFmtId="201" formatCode="[$€-2]\ #,##0.00_);[Red]\([$€-2]\ #,##0.00\)"/>
    <numFmt numFmtId="202" formatCode="#,##0.000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1" applyNumberFormat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20" fillId="16" borderId="2" applyNumberFormat="0" applyAlignment="0" applyProtection="0"/>
    <xf numFmtId="0" fontId="22" fillId="0" borderId="3" applyNumberFormat="0" applyFill="0" applyAlignment="0" applyProtection="0"/>
    <xf numFmtId="0" fontId="12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0" fillId="22" borderId="4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8" fillId="3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0" xfId="59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52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190" fontId="2" fillId="0" borderId="1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2" fillId="0" borderId="2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left" indent="1"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3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19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59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right" wrapText="1"/>
    </xf>
    <xf numFmtId="49" fontId="3" fillId="0" borderId="26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180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180" fontId="2" fillId="0" borderId="2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3" fontId="2" fillId="0" borderId="2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3" fillId="0" borderId="20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wrapText="1"/>
    </xf>
    <xf numFmtId="1" fontId="2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wrapText="1"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3" fontId="3" fillId="0" borderId="36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180" fontId="2" fillId="0" borderId="2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right" wrapText="1"/>
    </xf>
    <xf numFmtId="3" fontId="28" fillId="0" borderId="0" xfId="0" applyNumberFormat="1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left" wrapText="1"/>
    </xf>
    <xf numFmtId="3" fontId="3" fillId="0" borderId="38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40" xfId="0" applyFont="1" applyFill="1" applyBorder="1" applyAlignment="1">
      <alignment/>
    </xf>
    <xf numFmtId="180" fontId="3" fillId="0" borderId="35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12" xfId="56" applyFont="1" applyFill="1" applyBorder="1" applyAlignment="1">
      <alignment vertical="center" wrapText="1"/>
      <protection/>
    </xf>
    <xf numFmtId="0" fontId="2" fillId="0" borderId="13" xfId="56" applyFont="1" applyFill="1" applyBorder="1" applyAlignment="1">
      <alignment vertical="center" wrapText="1"/>
      <protection/>
    </xf>
    <xf numFmtId="3" fontId="2" fillId="0" borderId="43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" fillId="0" borderId="45" xfId="56" applyFont="1" applyFill="1" applyBorder="1" applyAlignment="1">
      <alignment vertical="center" wrapText="1"/>
      <protection/>
    </xf>
    <xf numFmtId="3" fontId="3" fillId="0" borderId="45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80" fontId="2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" fontId="2" fillId="0" borderId="46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0" fontId="29" fillId="0" borderId="0" xfId="0" applyFont="1" applyAlignment="1">
      <alignment wrapText="1"/>
    </xf>
    <xf numFmtId="180" fontId="2" fillId="0" borderId="46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0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1" fontId="2" fillId="0" borderId="47" xfId="0" applyNumberFormat="1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180" fontId="2" fillId="0" borderId="39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80" fontId="2" fillId="0" borderId="2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1" fontId="0" fillId="0" borderId="22" xfId="0" applyNumberFormat="1" applyFont="1" applyFill="1" applyBorder="1" applyAlignment="1">
      <alignment/>
    </xf>
    <xf numFmtId="180" fontId="3" fillId="0" borderId="22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3" fillId="0" borderId="51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52" applyFont="1" applyFill="1" applyBorder="1" applyAlignment="1">
      <alignment horizontal="left" wrapText="1"/>
      <protection/>
    </xf>
    <xf numFmtId="3" fontId="28" fillId="0" borderId="0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3" fontId="2" fillId="0" borderId="15" xfId="0" applyNumberFormat="1" applyFont="1" applyFill="1" applyBorder="1" applyAlignment="1" applyProtection="1">
      <alignment horizontal="center"/>
      <protection/>
    </xf>
    <xf numFmtId="49" fontId="28" fillId="0" borderId="26" xfId="0" applyNumberFormat="1" applyFont="1" applyFill="1" applyBorder="1" applyAlignment="1">
      <alignment horizontal="right"/>
    </xf>
    <xf numFmtId="0" fontId="28" fillId="0" borderId="23" xfId="0" applyFont="1" applyFill="1" applyBorder="1" applyAlignment="1">
      <alignment horizontal="left" wrapText="1"/>
    </xf>
    <xf numFmtId="3" fontId="3" fillId="0" borderId="51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52" xfId="0" applyFont="1" applyFill="1" applyBorder="1" applyAlignment="1">
      <alignment wrapText="1"/>
    </xf>
    <xf numFmtId="0" fontId="2" fillId="0" borderId="4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3" fillId="0" borderId="5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wrapText="1"/>
    </xf>
    <xf numFmtId="3" fontId="2" fillId="0" borderId="27" xfId="0" applyNumberFormat="1" applyFont="1" applyFill="1" applyBorder="1" applyAlignment="1">
      <alignment/>
    </xf>
    <xf numFmtId="1" fontId="2" fillId="0" borderId="54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wrapText="1"/>
    </xf>
    <xf numFmtId="1" fontId="2" fillId="0" borderId="27" xfId="0" applyNumberFormat="1" applyFont="1" applyFill="1" applyBorder="1" applyAlignment="1">
      <alignment/>
    </xf>
    <xf numFmtId="180" fontId="2" fillId="0" borderId="27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0" fontId="30" fillId="0" borderId="35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52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0" fillId="0" borderId="51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1" fontId="28" fillId="0" borderId="23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0" xfId="53" applyFont="1" applyFill="1">
      <alignment/>
      <protection/>
    </xf>
    <xf numFmtId="3" fontId="2" fillId="0" borderId="0" xfId="53" applyNumberFormat="1" applyFont="1" applyFill="1" applyAlignment="1">
      <alignment wrapText="1"/>
      <protection/>
    </xf>
    <xf numFmtId="0" fontId="2" fillId="0" borderId="0" xfId="60" applyFont="1" applyFill="1" applyAlignment="1">
      <alignment horizontal="left"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2" fillId="0" borderId="0" xfId="53" applyFont="1" applyFill="1" applyAlignment="1">
      <alignment horizontal="left"/>
      <protection/>
    </xf>
    <xf numFmtId="0" fontId="24" fillId="0" borderId="0" xfId="53" applyFont="1" applyFill="1" applyAlignment="1">
      <alignment/>
      <protection/>
    </xf>
    <xf numFmtId="0" fontId="26" fillId="0" borderId="0" xfId="53" applyFont="1" applyFill="1">
      <alignment/>
      <protection/>
    </xf>
    <xf numFmtId="0" fontId="2" fillId="0" borderId="0" xfId="53" applyFont="1" applyFill="1" applyAlignment="1">
      <alignment horizontal="left" wrapText="1"/>
      <protection/>
    </xf>
    <xf numFmtId="0" fontId="25" fillId="0" borderId="11" xfId="53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 applyProtection="1">
      <alignment horizontal="center" vertical="center" wrapText="1"/>
      <protection/>
    </xf>
    <xf numFmtId="0" fontId="2" fillId="0" borderId="45" xfId="55" applyFont="1" applyFill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>
      <alignment horizontal="right"/>
      <protection/>
    </xf>
    <xf numFmtId="0" fontId="3" fillId="0" borderId="15" xfId="53" applyFont="1" applyFill="1" applyBorder="1" applyAlignment="1">
      <alignment wrapText="1"/>
      <protection/>
    </xf>
    <xf numFmtId="3" fontId="3" fillId="0" borderId="15" xfId="53" applyNumberFormat="1" applyFont="1" applyFill="1" applyBorder="1">
      <alignment/>
      <protection/>
    </xf>
    <xf numFmtId="3" fontId="3" fillId="0" borderId="17" xfId="53" applyNumberFormat="1" applyFont="1" applyFill="1" applyBorder="1">
      <alignment/>
      <protection/>
    </xf>
    <xf numFmtId="180" fontId="2" fillId="0" borderId="0" xfId="53" applyNumberFormat="1" applyFont="1" applyFill="1">
      <alignment/>
      <protection/>
    </xf>
    <xf numFmtId="0" fontId="2" fillId="0" borderId="18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wrapText="1"/>
      <protection/>
    </xf>
    <xf numFmtId="3" fontId="2" fillId="0" borderId="10" xfId="53" applyNumberFormat="1" applyFont="1" applyFill="1" applyBorder="1">
      <alignment/>
      <protection/>
    </xf>
    <xf numFmtId="3" fontId="2" fillId="0" borderId="17" xfId="53" applyNumberFormat="1" applyFont="1" applyFill="1" applyBorder="1">
      <alignment/>
      <protection/>
    </xf>
    <xf numFmtId="0" fontId="3" fillId="0" borderId="18" xfId="53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3" fontId="3" fillId="0" borderId="10" xfId="53" applyNumberFormat="1" applyFont="1" applyFill="1" applyBorder="1">
      <alignment/>
      <protection/>
    </xf>
    <xf numFmtId="3" fontId="3" fillId="0" borderId="20" xfId="53" applyNumberFormat="1" applyFont="1" applyFill="1" applyBorder="1">
      <alignment/>
      <protection/>
    </xf>
    <xf numFmtId="1" fontId="2" fillId="0" borderId="21" xfId="53" applyNumberFormat="1" applyFont="1" applyFill="1" applyBorder="1">
      <alignment/>
      <protection/>
    </xf>
    <xf numFmtId="180" fontId="2" fillId="0" borderId="10" xfId="53" applyNumberFormat="1" applyFont="1" applyFill="1" applyBorder="1">
      <alignment/>
      <protection/>
    </xf>
    <xf numFmtId="0" fontId="2" fillId="0" borderId="10" xfId="53" applyFont="1" applyFill="1" applyBorder="1">
      <alignment/>
      <protection/>
    </xf>
    <xf numFmtId="0" fontId="2" fillId="0" borderId="20" xfId="53" applyFont="1" applyFill="1" applyBorder="1">
      <alignment/>
      <protection/>
    </xf>
    <xf numFmtId="0" fontId="3" fillId="0" borderId="18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wrapText="1"/>
      <protection/>
    </xf>
    <xf numFmtId="3" fontId="3" fillId="0" borderId="10" xfId="53" applyNumberFormat="1" applyFont="1" applyFill="1" applyBorder="1">
      <alignment/>
      <protection/>
    </xf>
    <xf numFmtId="1" fontId="3" fillId="0" borderId="22" xfId="53" applyNumberFormat="1" applyFont="1" applyFill="1" applyBorder="1">
      <alignment/>
      <protection/>
    </xf>
    <xf numFmtId="180" fontId="3" fillId="0" borderId="20" xfId="53" applyNumberFormat="1" applyFont="1" applyFill="1" applyBorder="1">
      <alignment/>
      <protection/>
    </xf>
    <xf numFmtId="0" fontId="3" fillId="0" borderId="2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8" xfId="53" applyFont="1" applyFill="1" applyBorder="1" applyAlignment="1">
      <alignment horizontal="left"/>
      <protection/>
    </xf>
    <xf numFmtId="0" fontId="2" fillId="0" borderId="18" xfId="53" applyFont="1" applyFill="1" applyBorder="1" applyAlignment="1">
      <alignment horizontal="right"/>
      <protection/>
    </xf>
    <xf numFmtId="3" fontId="3" fillId="0" borderId="21" xfId="53" applyNumberFormat="1" applyFont="1" applyFill="1" applyBorder="1">
      <alignment/>
      <protection/>
    </xf>
    <xf numFmtId="1" fontId="2" fillId="0" borderId="10" xfId="53" applyNumberFormat="1" applyFont="1" applyFill="1" applyBorder="1">
      <alignment/>
      <protection/>
    </xf>
    <xf numFmtId="0" fontId="3" fillId="0" borderId="26" xfId="53" applyFont="1" applyFill="1" applyBorder="1" applyAlignment="1">
      <alignment horizontal="right"/>
      <protection/>
    </xf>
    <xf numFmtId="0" fontId="3" fillId="0" borderId="23" xfId="53" applyFont="1" applyFill="1" applyBorder="1" applyAlignment="1">
      <alignment wrapText="1"/>
      <protection/>
    </xf>
    <xf numFmtId="3" fontId="3" fillId="0" borderId="23" xfId="53" applyNumberFormat="1" applyFont="1" applyFill="1" applyBorder="1">
      <alignment/>
      <protection/>
    </xf>
    <xf numFmtId="1" fontId="3" fillId="0" borderId="47" xfId="53" applyNumberFormat="1" applyFont="1" applyFill="1" applyBorder="1">
      <alignment/>
      <protection/>
    </xf>
    <xf numFmtId="1" fontId="3" fillId="0" borderId="23" xfId="53" applyNumberFormat="1" applyFont="1" applyFill="1" applyBorder="1">
      <alignment/>
      <protection/>
    </xf>
    <xf numFmtId="0" fontId="3" fillId="0" borderId="23" xfId="53" applyFont="1" applyFill="1" applyBorder="1">
      <alignment/>
      <protection/>
    </xf>
    <xf numFmtId="0" fontId="3" fillId="0" borderId="24" xfId="53" applyFont="1" applyFill="1" applyBorder="1">
      <alignment/>
      <protection/>
    </xf>
    <xf numFmtId="3" fontId="3" fillId="0" borderId="28" xfId="53" applyNumberFormat="1" applyFont="1" applyFill="1" applyBorder="1">
      <alignment/>
      <protection/>
    </xf>
    <xf numFmtId="0" fontId="3" fillId="0" borderId="0" xfId="53" applyFont="1" applyFill="1">
      <alignment/>
      <protection/>
    </xf>
    <xf numFmtId="0" fontId="2" fillId="0" borderId="11" xfId="53" applyFont="1" applyFill="1" applyBorder="1" applyAlignment="1">
      <alignment horizontal="right"/>
      <protection/>
    </xf>
    <xf numFmtId="0" fontId="3" fillId="0" borderId="12" xfId="53" applyFont="1" applyFill="1" applyBorder="1" applyAlignment="1">
      <alignment horizontal="right" wrapText="1"/>
      <protection/>
    </xf>
    <xf numFmtId="3" fontId="3" fillId="0" borderId="12" xfId="53" applyNumberFormat="1" applyFont="1" applyFill="1" applyBorder="1" applyAlignment="1">
      <alignment horizontal="center"/>
      <protection/>
    </xf>
    <xf numFmtId="3" fontId="3" fillId="0" borderId="14" xfId="53" applyNumberFormat="1" applyFont="1" applyFill="1" applyBorder="1">
      <alignment/>
      <protection/>
    </xf>
    <xf numFmtId="3" fontId="2" fillId="0" borderId="0" xfId="53" applyNumberFormat="1" applyFont="1" applyFill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15" xfId="53" applyFont="1" applyFill="1" applyBorder="1" applyAlignment="1" applyProtection="1">
      <alignment horizontal="left" wrapText="1"/>
      <protection/>
    </xf>
    <xf numFmtId="3" fontId="2" fillId="0" borderId="15" xfId="53" applyNumberFormat="1" applyFont="1" applyFill="1" applyBorder="1" applyAlignment="1" applyProtection="1">
      <alignment horizontal="center"/>
      <protection/>
    </xf>
    <xf numFmtId="0" fontId="3" fillId="0" borderId="10" xfId="53" applyFont="1" applyFill="1" applyBorder="1" applyProtection="1">
      <alignment/>
      <protection/>
    </xf>
    <xf numFmtId="0" fontId="2" fillId="0" borderId="10" xfId="53" applyFont="1" applyFill="1" applyBorder="1" applyAlignment="1" applyProtection="1">
      <alignment horizontal="left" wrapText="1"/>
      <protection/>
    </xf>
    <xf numFmtId="3" fontId="3" fillId="0" borderId="10" xfId="53" applyNumberFormat="1" applyFont="1" applyFill="1" applyBorder="1" applyAlignment="1" applyProtection="1">
      <alignment horizontal="center"/>
      <protection/>
    </xf>
    <xf numFmtId="0" fontId="2" fillId="0" borderId="0" xfId="53" applyFont="1" applyFill="1" applyAlignment="1">
      <alignment wrapText="1"/>
      <protection/>
    </xf>
    <xf numFmtId="0" fontId="0" fillId="0" borderId="0" xfId="57" applyFont="1">
      <alignment/>
      <protection/>
    </xf>
    <xf numFmtId="0" fontId="2" fillId="0" borderId="45" xfId="55" applyFont="1" applyBorder="1" applyAlignment="1">
      <alignment vertical="center" wrapText="1"/>
      <protection/>
    </xf>
    <xf numFmtId="49" fontId="3" fillId="0" borderId="11" xfId="53" applyNumberFormat="1" applyFont="1" applyFill="1" applyBorder="1" applyAlignment="1">
      <alignment horizontal="left"/>
      <protection/>
    </xf>
    <xf numFmtId="0" fontId="3" fillId="0" borderId="12" xfId="53" applyFont="1" applyFill="1" applyBorder="1" applyAlignment="1">
      <alignment wrapText="1"/>
      <protection/>
    </xf>
    <xf numFmtId="3" fontId="3" fillId="0" borderId="13" xfId="53" applyNumberFormat="1" applyFont="1" applyFill="1" applyBorder="1">
      <alignment/>
      <protection/>
    </xf>
    <xf numFmtId="49" fontId="2" fillId="0" borderId="55" xfId="53" applyNumberFormat="1" applyFont="1" applyFill="1" applyBorder="1" applyAlignment="1">
      <alignment horizontal="right"/>
      <protection/>
    </xf>
    <xf numFmtId="3" fontId="2" fillId="0" borderId="56" xfId="53" applyNumberFormat="1" applyFont="1" applyFill="1" applyBorder="1">
      <alignment/>
      <protection/>
    </xf>
    <xf numFmtId="3" fontId="2" fillId="0" borderId="38" xfId="53" applyNumberFormat="1" applyFont="1" applyFill="1" applyBorder="1">
      <alignment/>
      <protection/>
    </xf>
    <xf numFmtId="49" fontId="2" fillId="0" borderId="18" xfId="53" applyNumberFormat="1" applyFont="1" applyFill="1" applyBorder="1" applyAlignment="1">
      <alignment horizontal="right"/>
      <protection/>
    </xf>
    <xf numFmtId="3" fontId="2" fillId="0" borderId="20" xfId="53" applyNumberFormat="1" applyFont="1" applyFill="1" applyBorder="1">
      <alignment/>
      <protection/>
    </xf>
    <xf numFmtId="3" fontId="2" fillId="0" borderId="19" xfId="53" applyNumberFormat="1" applyFont="1" applyFill="1" applyBorder="1">
      <alignment/>
      <protection/>
    </xf>
    <xf numFmtId="49" fontId="2" fillId="0" borderId="31" xfId="53" applyNumberFormat="1" applyFont="1" applyFill="1" applyBorder="1" applyAlignment="1">
      <alignment horizontal="right"/>
      <protection/>
    </xf>
    <xf numFmtId="0" fontId="2" fillId="0" borderId="32" xfId="53" applyFont="1" applyFill="1" applyBorder="1" applyAlignment="1">
      <alignment wrapText="1"/>
      <protection/>
    </xf>
    <xf numFmtId="3" fontId="2" fillId="0" borderId="33" xfId="53" applyNumberFormat="1" applyFont="1" applyFill="1" applyBorder="1">
      <alignment/>
      <protection/>
    </xf>
    <xf numFmtId="3" fontId="2" fillId="0" borderId="28" xfId="53" applyNumberFormat="1" applyFont="1" applyFill="1" applyBorder="1">
      <alignment/>
      <protection/>
    </xf>
    <xf numFmtId="0" fontId="3" fillId="0" borderId="12" xfId="53" applyFont="1" applyFill="1" applyBorder="1" applyAlignment="1">
      <alignment horizontal="left" wrapText="1"/>
      <protection/>
    </xf>
    <xf numFmtId="0" fontId="2" fillId="0" borderId="57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32" xfId="53" applyFont="1" applyFill="1" applyBorder="1" applyAlignment="1">
      <alignment horizontal="left" wrapText="1"/>
      <protection/>
    </xf>
    <xf numFmtId="49" fontId="3" fillId="0" borderId="55" xfId="53" applyNumberFormat="1" applyFont="1" applyFill="1" applyBorder="1" applyAlignment="1">
      <alignment horizontal="left"/>
      <protection/>
    </xf>
    <xf numFmtId="0" fontId="3" fillId="0" borderId="57" xfId="53" applyFont="1" applyFill="1" applyBorder="1" applyAlignment="1">
      <alignment horizontal="left" wrapText="1"/>
      <protection/>
    </xf>
    <xf numFmtId="3" fontId="3" fillId="0" borderId="56" xfId="53" applyNumberFormat="1" applyFont="1" applyFill="1" applyBorder="1">
      <alignment/>
      <protection/>
    </xf>
    <xf numFmtId="3" fontId="3" fillId="0" borderId="38" xfId="53" applyNumberFormat="1" applyFont="1" applyFill="1" applyBorder="1">
      <alignment/>
      <protection/>
    </xf>
    <xf numFmtId="49" fontId="2" fillId="0" borderId="37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left" wrapText="1"/>
    </xf>
    <xf numFmtId="3" fontId="2" fillId="0" borderId="35" xfId="53" applyNumberFormat="1" applyFont="1" applyFill="1" applyBorder="1">
      <alignment/>
      <protection/>
    </xf>
    <xf numFmtId="3" fontId="2" fillId="0" borderId="36" xfId="53" applyNumberFormat="1" applyFont="1" applyFill="1" applyBorder="1">
      <alignment/>
      <protection/>
    </xf>
    <xf numFmtId="3" fontId="2" fillId="0" borderId="41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2" fillId="0" borderId="11" xfId="53" applyFont="1" applyFill="1" applyBorder="1">
      <alignment/>
      <protection/>
    </xf>
    <xf numFmtId="3" fontId="3" fillId="0" borderId="12" xfId="53" applyNumberFormat="1" applyFont="1" applyFill="1" applyBorder="1" applyAlignment="1">
      <alignment wrapText="1"/>
      <protection/>
    </xf>
    <xf numFmtId="0" fontId="3" fillId="0" borderId="0" xfId="57" applyFont="1" applyBorder="1" applyProtection="1">
      <alignment/>
      <protection/>
    </xf>
    <xf numFmtId="0" fontId="3" fillId="0" borderId="0" xfId="57" applyFont="1" applyBorder="1" applyAlignment="1">
      <alignment wrapText="1"/>
      <protection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3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horizontal="left" wrapText="1"/>
      <protection/>
    </xf>
    <xf numFmtId="3" fontId="3" fillId="0" borderId="0" xfId="53" applyNumberFormat="1" applyFont="1" applyBorder="1">
      <alignment/>
      <protection/>
    </xf>
    <xf numFmtId="3" fontId="3" fillId="0" borderId="0" xfId="53" applyNumberFormat="1" applyFont="1" applyFill="1" applyBorder="1">
      <alignment/>
      <protection/>
    </xf>
    <xf numFmtId="0" fontId="3" fillId="0" borderId="37" xfId="53" applyFont="1" applyBorder="1" applyAlignment="1">
      <alignment horizontal="left"/>
      <protection/>
    </xf>
    <xf numFmtId="0" fontId="3" fillId="0" borderId="35" xfId="53" applyFont="1" applyBorder="1" applyAlignment="1">
      <alignment wrapText="1"/>
      <protection/>
    </xf>
    <xf numFmtId="0" fontId="3" fillId="0" borderId="35" xfId="53" applyFont="1" applyFill="1" applyBorder="1">
      <alignment/>
      <protection/>
    </xf>
    <xf numFmtId="0" fontId="3" fillId="0" borderId="36" xfId="53" applyFont="1" applyFill="1" applyBorder="1">
      <alignment/>
      <protection/>
    </xf>
    <xf numFmtId="0" fontId="3" fillId="0" borderId="38" xfId="53" applyFont="1" applyFill="1" applyBorder="1">
      <alignment/>
      <protection/>
    </xf>
    <xf numFmtId="0" fontId="3" fillId="0" borderId="26" xfId="53" applyFont="1" applyBorder="1" applyAlignment="1">
      <alignment horizontal="left"/>
      <protection/>
    </xf>
    <xf numFmtId="0" fontId="3" fillId="0" borderId="23" xfId="53" applyFont="1" applyBorder="1" applyAlignment="1">
      <alignment wrapText="1"/>
      <protection/>
    </xf>
    <xf numFmtId="0" fontId="3" fillId="0" borderId="58" xfId="53" applyFont="1" applyFill="1" applyBorder="1">
      <alignment/>
      <protection/>
    </xf>
    <xf numFmtId="0" fontId="3" fillId="0" borderId="11" xfId="53" applyFont="1" applyBorder="1" applyAlignment="1">
      <alignment horizontal="left"/>
      <protection/>
    </xf>
    <xf numFmtId="0" fontId="3" fillId="0" borderId="12" xfId="53" applyFont="1" applyBorder="1" applyAlignment="1">
      <alignment wrapText="1"/>
      <protection/>
    </xf>
    <xf numFmtId="0" fontId="3" fillId="0" borderId="12" xfId="53" applyFont="1" applyFill="1" applyBorder="1">
      <alignment/>
      <protection/>
    </xf>
    <xf numFmtId="0" fontId="3" fillId="0" borderId="13" xfId="53" applyFont="1" applyFill="1" applyBorder="1">
      <alignment/>
      <protection/>
    </xf>
    <xf numFmtId="0" fontId="3" fillId="0" borderId="14" xfId="53" applyFont="1" applyFill="1" applyBorder="1">
      <alignment/>
      <protection/>
    </xf>
    <xf numFmtId="0" fontId="3" fillId="0" borderId="25" xfId="53" applyFont="1" applyBorder="1" applyAlignment="1">
      <alignment horizontal="left"/>
      <protection/>
    </xf>
    <xf numFmtId="0" fontId="3" fillId="0" borderId="15" xfId="53" applyFont="1" applyBorder="1" applyAlignment="1">
      <alignment wrapText="1"/>
      <protection/>
    </xf>
    <xf numFmtId="0" fontId="3" fillId="0" borderId="15" xfId="53" applyFont="1" applyBorder="1">
      <alignment/>
      <protection/>
    </xf>
    <xf numFmtId="0" fontId="3" fillId="0" borderId="15" xfId="53" applyFont="1" applyFill="1" applyBorder="1">
      <alignment/>
      <protection/>
    </xf>
    <xf numFmtId="0" fontId="3" fillId="0" borderId="16" xfId="53" applyFont="1" applyBorder="1">
      <alignment/>
      <protection/>
    </xf>
    <xf numFmtId="0" fontId="3" fillId="0" borderId="17" xfId="53" applyFont="1" applyFill="1" applyBorder="1">
      <alignment/>
      <protection/>
    </xf>
    <xf numFmtId="0" fontId="3" fillId="0" borderId="18" xfId="53" applyFont="1" applyBorder="1" applyAlignment="1">
      <alignment horizontal="left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0" fontId="3" fillId="0" borderId="20" xfId="53" applyFont="1" applyFill="1" applyBorder="1">
      <alignment/>
      <protection/>
    </xf>
    <xf numFmtId="0" fontId="3" fillId="0" borderId="19" xfId="53" applyFont="1" applyFill="1" applyBorder="1">
      <alignment/>
      <protection/>
    </xf>
    <xf numFmtId="0" fontId="3" fillId="0" borderId="19" xfId="53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29" xfId="53" applyFont="1" applyBorder="1" applyAlignment="1">
      <alignment wrapText="1"/>
      <protection/>
    </xf>
    <xf numFmtId="0" fontId="3" fillId="0" borderId="46" xfId="60" applyFont="1" applyBorder="1" applyAlignment="1">
      <alignment horizontal="right" wrapText="1"/>
      <protection/>
    </xf>
    <xf numFmtId="0" fontId="3" fillId="0" borderId="29" xfId="53" applyFont="1" applyFill="1" applyBorder="1">
      <alignment/>
      <protection/>
    </xf>
    <xf numFmtId="0" fontId="3" fillId="0" borderId="27" xfId="53" applyFont="1" applyFill="1" applyBorder="1">
      <alignment/>
      <protection/>
    </xf>
    <xf numFmtId="0" fontId="2" fillId="0" borderId="11" xfId="53" applyFont="1" applyBorder="1">
      <alignment/>
      <protection/>
    </xf>
    <xf numFmtId="0" fontId="3" fillId="0" borderId="12" xfId="53" applyFont="1" applyBorder="1" applyAlignment="1">
      <alignment horizontal="right"/>
      <protection/>
    </xf>
    <xf numFmtId="3" fontId="2" fillId="0" borderId="0" xfId="53" applyNumberFormat="1" applyFont="1" applyBorder="1" applyAlignment="1">
      <alignment horizontal="right" wrapText="1"/>
      <protection/>
    </xf>
    <xf numFmtId="0" fontId="2" fillId="0" borderId="0" xfId="53" applyFont="1" applyAlignment="1">
      <alignment wrapText="1"/>
      <protection/>
    </xf>
    <xf numFmtId="0" fontId="3" fillId="0" borderId="0" xfId="53" applyFont="1" applyFill="1" applyBorder="1" applyProtection="1">
      <alignment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/>
      <protection/>
    </xf>
    <xf numFmtId="1" fontId="3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Alignment="1">
      <alignment horizontal="right"/>
      <protection/>
    </xf>
    <xf numFmtId="3" fontId="3" fillId="0" borderId="0" xfId="53" applyNumberFormat="1" applyFont="1" applyFill="1" applyBorder="1" applyAlignment="1">
      <alignment wrapText="1"/>
      <protection/>
    </xf>
    <xf numFmtId="0" fontId="32" fillId="0" borderId="0" xfId="60" applyFont="1" applyAlignment="1">
      <alignment horizontal="center"/>
      <protection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34" fillId="0" borderId="10" xfId="60" applyFont="1" applyBorder="1" applyAlignment="1">
      <alignment horizontal="justify" vertical="top" wrapText="1"/>
      <protection/>
    </xf>
    <xf numFmtId="0" fontId="34" fillId="0" borderId="10" xfId="60" applyFont="1" applyBorder="1" applyAlignment="1">
      <alignment horizontal="center" vertical="top" wrapText="1"/>
      <protection/>
    </xf>
    <xf numFmtId="0" fontId="33" fillId="0" borderId="10" xfId="60" applyFont="1" applyBorder="1" applyAlignment="1">
      <alignment vertical="top" wrapText="1"/>
      <protection/>
    </xf>
    <xf numFmtId="0" fontId="33" fillId="0" borderId="10" xfId="57" applyFont="1" applyBorder="1" applyAlignment="1">
      <alignment horizontal="center" vertical="center"/>
      <protection/>
    </xf>
    <xf numFmtId="0" fontId="33" fillId="0" borderId="10" xfId="66" applyNumberFormat="1" applyFont="1" applyBorder="1" applyAlignment="1">
      <alignment horizontal="center" vertical="center"/>
    </xf>
    <xf numFmtId="0" fontId="33" fillId="0" borderId="10" xfId="60" applyFont="1" applyBorder="1" applyAlignment="1">
      <alignment horizontal="center" vertical="center" wrapText="1"/>
      <protection/>
    </xf>
    <xf numFmtId="0" fontId="1" fillId="0" borderId="0" xfId="60" applyFont="1">
      <alignment/>
      <protection/>
    </xf>
    <xf numFmtId="0" fontId="34" fillId="0" borderId="15" xfId="60" applyFont="1" applyBorder="1" applyAlignment="1">
      <alignment horizontal="justify" vertical="top" wrapText="1"/>
      <protection/>
    </xf>
    <xf numFmtId="1" fontId="34" fillId="0" borderId="46" xfId="60" applyNumberFormat="1" applyFont="1" applyBorder="1" applyAlignment="1">
      <alignment horizontal="center" vertical="top" wrapText="1"/>
      <protection/>
    </xf>
    <xf numFmtId="0" fontId="33" fillId="0" borderId="15" xfId="60" applyFont="1" applyBorder="1" applyAlignment="1">
      <alignment horizontal="justify" vertical="top" wrapText="1"/>
      <protection/>
    </xf>
    <xf numFmtId="0" fontId="33" fillId="0" borderId="46" xfId="60" applyFont="1" applyBorder="1" applyAlignment="1">
      <alignment horizontal="center" vertical="top" wrapText="1"/>
      <protection/>
    </xf>
    <xf numFmtId="0" fontId="33" fillId="0" borderId="46" xfId="60" applyFont="1" applyFill="1" applyBorder="1" applyAlignment="1">
      <alignment horizontal="center" vertical="top" wrapText="1"/>
      <protection/>
    </xf>
    <xf numFmtId="0" fontId="33" fillId="0" borderId="21" xfId="60" applyFont="1" applyBorder="1" applyAlignment="1">
      <alignment horizontal="center" vertical="top" wrapText="1"/>
      <protection/>
    </xf>
    <xf numFmtId="0" fontId="35" fillId="0" borderId="46" xfId="60" applyFont="1" applyBorder="1" applyAlignment="1">
      <alignment horizontal="center" vertical="top" wrapText="1"/>
      <protection/>
    </xf>
    <xf numFmtId="0" fontId="35" fillId="0" borderId="46" xfId="60" applyFont="1" applyFill="1" applyBorder="1" applyAlignment="1">
      <alignment horizontal="center" vertical="top" wrapText="1"/>
      <protection/>
    </xf>
    <xf numFmtId="0" fontId="34" fillId="0" borderId="15" xfId="60" applyFont="1" applyBorder="1" applyAlignment="1">
      <alignment vertical="top" wrapText="1"/>
      <protection/>
    </xf>
    <xf numFmtId="0" fontId="34" fillId="0" borderId="46" xfId="60" applyFont="1" applyBorder="1" applyAlignment="1">
      <alignment horizontal="center" vertical="top" wrapText="1"/>
      <protection/>
    </xf>
    <xf numFmtId="0" fontId="33" fillId="0" borderId="0" xfId="60" applyFont="1">
      <alignment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66" applyNumberFormat="1" applyFont="1" applyFill="1" applyBorder="1" applyAlignment="1">
      <alignment horizontal="center" vertical="center"/>
    </xf>
    <xf numFmtId="0" fontId="36" fillId="0" borderId="15" xfId="60" applyFont="1" applyBorder="1" applyAlignment="1">
      <alignment horizontal="justify" vertical="top" wrapText="1"/>
      <protection/>
    </xf>
    <xf numFmtId="0" fontId="36" fillId="0" borderId="46" xfId="60" applyFont="1" applyBorder="1" applyAlignment="1">
      <alignment horizontal="center" vertical="top" wrapText="1"/>
      <protection/>
    </xf>
    <xf numFmtId="0" fontId="36" fillId="0" borderId="46" xfId="60" applyFont="1" applyFill="1" applyBorder="1" applyAlignment="1">
      <alignment horizontal="center" vertical="top" wrapText="1"/>
      <protection/>
    </xf>
    <xf numFmtId="0" fontId="36" fillId="0" borderId="21" xfId="60" applyFont="1" applyBorder="1" applyAlignment="1">
      <alignment horizontal="center" vertical="top" wrapText="1"/>
      <protection/>
    </xf>
    <xf numFmtId="0" fontId="37" fillId="0" borderId="46" xfId="60" applyFont="1" applyBorder="1" applyAlignment="1">
      <alignment horizontal="center" vertical="top" wrapText="1"/>
      <protection/>
    </xf>
    <xf numFmtId="0" fontId="33" fillId="0" borderId="0" xfId="60" applyFont="1" applyBorder="1" applyAlignment="1">
      <alignment horizontal="left"/>
      <protection/>
    </xf>
    <xf numFmtId="0" fontId="34" fillId="0" borderId="0" xfId="57" applyFont="1" applyBorder="1" applyProtection="1">
      <alignment/>
      <protection/>
    </xf>
    <xf numFmtId="0" fontId="34" fillId="0" borderId="0" xfId="57" applyFont="1" applyBorder="1" applyAlignment="1">
      <alignment wrapText="1"/>
      <protection/>
    </xf>
    <xf numFmtId="0" fontId="33" fillId="0" borderId="0" xfId="60" applyFont="1">
      <alignment/>
      <protection/>
    </xf>
    <xf numFmtId="0" fontId="33" fillId="0" borderId="0" xfId="57" applyFont="1" applyBorder="1" applyAlignment="1">
      <alignment horizontal="center"/>
      <protection/>
    </xf>
    <xf numFmtId="1" fontId="34" fillId="0" borderId="0" xfId="60" applyNumberFormat="1" applyFont="1" applyBorder="1" applyAlignment="1">
      <alignment horizontal="center" vertical="top" wrapText="1"/>
      <protection/>
    </xf>
    <xf numFmtId="0" fontId="32" fillId="0" borderId="0" xfId="60" applyFont="1" applyAlignment="1">
      <alignment horizontal="center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2" xfId="53" applyFont="1" applyFill="1" applyBorder="1" applyAlignment="1" applyProtection="1">
      <alignment horizontal="center" vertical="center" wrapText="1"/>
      <protection/>
    </xf>
    <xf numFmtId="1" fontId="2" fillId="0" borderId="12" xfId="58" applyNumberFormat="1" applyFont="1" applyFill="1" applyBorder="1" applyAlignment="1" applyProtection="1">
      <alignment horizontal="center" vertical="center" wrapText="1"/>
      <protection/>
    </xf>
    <xf numFmtId="0" fontId="2" fillId="0" borderId="12" xfId="58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>
      <alignment vertical="center" wrapText="1"/>
      <protection/>
    </xf>
    <xf numFmtId="3" fontId="2" fillId="0" borderId="15" xfId="53" applyNumberFormat="1" applyFont="1" applyFill="1" applyBorder="1" applyProtection="1">
      <alignment/>
      <protection/>
    </xf>
    <xf numFmtId="49" fontId="3" fillId="0" borderId="11" xfId="53" applyNumberFormat="1" applyFont="1" applyFill="1" applyBorder="1">
      <alignment/>
      <protection/>
    </xf>
    <xf numFmtId="49" fontId="3" fillId="0" borderId="11" xfId="58" applyNumberFormat="1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wrapText="1"/>
      <protection/>
    </xf>
    <xf numFmtId="3" fontId="2" fillId="0" borderId="0" xfId="53" applyNumberFormat="1" applyFont="1" applyFill="1" applyBorder="1">
      <alignment/>
      <protection/>
    </xf>
    <xf numFmtId="0" fontId="26" fillId="0" borderId="0" xfId="53" applyFont="1" applyFill="1" applyBorder="1" applyAlignment="1">
      <alignment horizontal="right" wrapText="1"/>
      <protection/>
    </xf>
    <xf numFmtId="0" fontId="3" fillId="0" borderId="35" xfId="53" applyFont="1" applyBorder="1">
      <alignment/>
      <protection/>
    </xf>
    <xf numFmtId="0" fontId="3" fillId="0" borderId="23" xfId="53" applyFont="1" applyBorder="1">
      <alignment/>
      <protection/>
    </xf>
    <xf numFmtId="3" fontId="2" fillId="0" borderId="0" xfId="53" applyNumberFormat="1" applyFont="1" applyBorder="1">
      <alignment/>
      <protection/>
    </xf>
    <xf numFmtId="0" fontId="24" fillId="0" borderId="0" xfId="0" applyFont="1" applyFill="1" applyAlignment="1">
      <alignment horizontal="center"/>
    </xf>
    <xf numFmtId="0" fontId="24" fillId="0" borderId="59" xfId="0" applyFont="1" applyFill="1" applyBorder="1" applyAlignment="1">
      <alignment horizontal="center" wrapText="1"/>
    </xf>
    <xf numFmtId="0" fontId="24" fillId="0" borderId="59" xfId="0" applyFont="1" applyFill="1" applyBorder="1" applyAlignment="1">
      <alignment horizontal="center" wrapText="1"/>
    </xf>
    <xf numFmtId="0" fontId="24" fillId="0" borderId="59" xfId="53" applyFont="1" applyFill="1" applyBorder="1" applyAlignment="1">
      <alignment horizontal="center" wrapText="1"/>
      <protection/>
    </xf>
    <xf numFmtId="0" fontId="24" fillId="0" borderId="59" xfId="53" applyFont="1" applyBorder="1" applyAlignment="1">
      <alignment horizontal="center" wrapText="1"/>
      <protection/>
    </xf>
    <xf numFmtId="0" fontId="32" fillId="0" borderId="0" xfId="60" applyFont="1" applyAlignment="1">
      <alignment horizontal="center"/>
      <protection/>
    </xf>
    <xf numFmtId="0" fontId="32" fillId="0" borderId="0" xfId="60" applyFont="1" applyFill="1" applyAlignment="1">
      <alignment horizontal="center"/>
      <protection/>
    </xf>
    <xf numFmtId="0" fontId="32" fillId="0" borderId="39" xfId="60" applyFont="1" applyBorder="1" applyAlignment="1">
      <alignment horizontal="center"/>
      <protection/>
    </xf>
    <xf numFmtId="0" fontId="33" fillId="0" borderId="23" xfId="60" applyFont="1" applyBorder="1" applyAlignment="1">
      <alignment horizontal="center" vertical="top" wrapText="1"/>
      <protection/>
    </xf>
    <xf numFmtId="0" fontId="33" fillId="0" borderId="15" xfId="60" applyFont="1" applyBorder="1" applyAlignment="1">
      <alignment horizontal="center" vertical="top" wrapText="1"/>
      <protection/>
    </xf>
    <xf numFmtId="0" fontId="33" fillId="0" borderId="10" xfId="60" applyFont="1" applyBorder="1" applyAlignment="1">
      <alignment horizontal="center" vertical="top" wrapText="1"/>
      <protection/>
    </xf>
    <xf numFmtId="0" fontId="33" fillId="0" borderId="60" xfId="60" applyFont="1" applyBorder="1" applyAlignment="1">
      <alignment horizontal="left"/>
      <protection/>
    </xf>
    <xf numFmtId="0" fontId="33" fillId="0" borderId="0" xfId="60" applyFont="1" applyBorder="1" applyAlignment="1">
      <alignment horizontal="left"/>
      <protection/>
    </xf>
    <xf numFmtId="0" fontId="32" fillId="0" borderId="0" xfId="60" applyFont="1" applyAlignment="1">
      <alignment horizontal="center"/>
      <protection/>
    </xf>
  </cellXfs>
  <cellStyles count="5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Ievade" xfId="41"/>
    <cellStyle name="Izcēlums1" xfId="42"/>
    <cellStyle name="Izcēlums2" xfId="43"/>
    <cellStyle name="Izcēlums3" xfId="44"/>
    <cellStyle name="Izcēlums4" xfId="45"/>
    <cellStyle name="Izcēlums5" xfId="46"/>
    <cellStyle name="Izcēlums6" xfId="47"/>
    <cellStyle name="Izvade" xfId="48"/>
    <cellStyle name="Kopsumma" xfId="49"/>
    <cellStyle name="Labs" xfId="50"/>
    <cellStyle name="Neitrāls" xfId="51"/>
    <cellStyle name="Normal_2009.g plāns apst" xfId="52"/>
    <cellStyle name="Normal_2009.g plāns apst 2" xfId="53"/>
    <cellStyle name="Normal_2011.g ieņēmumu un izdevumu plāns" xfId="54"/>
    <cellStyle name="Normal_Sheet1" xfId="55"/>
    <cellStyle name="Normal_Sheet1_Pielikumi oktobra korekcijam" xfId="56"/>
    <cellStyle name="Normal_Specb.2009.g. decembra korekcijas saīsin." xfId="57"/>
    <cellStyle name="Normal_Specb.ziedoj.un davin. 2011.g. decembra korekcijas" xfId="58"/>
    <cellStyle name="Normal_Specbudz.kopsavilkums 2006.g un korekc." xfId="59"/>
    <cellStyle name="Normal_Specbudz.kopsavilkums 2006.g un korekc. 2" xfId="60"/>
    <cellStyle name="Nosaukums" xfId="61"/>
    <cellStyle name="Pārbaudes šūna" xfId="62"/>
    <cellStyle name="Paskaidrojošs teksts" xfId="63"/>
    <cellStyle name="Percent" xfId="64"/>
    <cellStyle name="Piezīme" xfId="65"/>
    <cellStyle name="Procenti 2" xfId="66"/>
    <cellStyle name="Saistīta šūna" xfId="67"/>
    <cellStyle name="Slikts" xfId="68"/>
    <cellStyle name="Virsraksts 1" xfId="69"/>
    <cellStyle name="Virsraksts 2" xfId="70"/>
    <cellStyle name="Virsraksts 3" xfId="71"/>
    <cellStyle name="Virsraksts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1.28125" style="2" customWidth="1"/>
    <col min="2" max="2" width="41.00390625" style="3" customWidth="1"/>
    <col min="3" max="3" width="13.28125" style="2" customWidth="1"/>
    <col min="4" max="4" width="11.00390625" style="4" customWidth="1"/>
    <col min="5" max="5" width="10.7109375" style="2" customWidth="1"/>
    <col min="6" max="6" width="11.00390625" style="2" customWidth="1"/>
    <col min="7" max="7" width="12.00390625" style="2" customWidth="1"/>
    <col min="8" max="8" width="10.8515625" style="2" customWidth="1"/>
    <col min="9" max="9" width="9.57421875" style="2" customWidth="1"/>
    <col min="10" max="10" width="10.140625" style="2" customWidth="1"/>
    <col min="11" max="11" width="10.8515625" style="2" customWidth="1"/>
    <col min="12" max="13" width="9.57421875" style="2" customWidth="1"/>
    <col min="14" max="14" width="10.8515625" style="2" customWidth="1"/>
    <col min="15" max="15" width="10.28125" style="2" customWidth="1"/>
    <col min="16" max="16" width="13.00390625" style="6" customWidth="1"/>
    <col min="17" max="16384" width="9.140625" style="2" customWidth="1"/>
  </cols>
  <sheetData>
    <row r="1" spans="5:7" ht="15">
      <c r="E1" s="5" t="s">
        <v>11</v>
      </c>
      <c r="F1" s="5"/>
      <c r="G1" s="5"/>
    </row>
    <row r="2" spans="1:7" ht="15">
      <c r="A2" s="7"/>
      <c r="E2" s="7" t="s">
        <v>439</v>
      </c>
      <c r="F2" s="7"/>
      <c r="G2" s="7"/>
    </row>
    <row r="3" spans="1:7" ht="15">
      <c r="A3" s="7"/>
      <c r="E3" s="7" t="s">
        <v>440</v>
      </c>
      <c r="F3" s="7"/>
      <c r="G3" s="7"/>
    </row>
    <row r="5" spans="1:4" ht="20.25">
      <c r="A5" s="469" t="s">
        <v>387</v>
      </c>
      <c r="B5" s="469"/>
      <c r="C5" s="469"/>
      <c r="D5" s="469"/>
    </row>
    <row r="6" spans="1:14" ht="15.75" thickBot="1">
      <c r="A6" s="7"/>
      <c r="B6" s="8"/>
      <c r="C6" s="7"/>
      <c r="N6" s="9"/>
    </row>
    <row r="7" spans="1:16" ht="97.5" customHeight="1" thickBot="1">
      <c r="A7" s="10" t="s">
        <v>10</v>
      </c>
      <c r="B7" s="11" t="s">
        <v>152</v>
      </c>
      <c r="C7" s="12" t="s">
        <v>386</v>
      </c>
      <c r="D7" s="13" t="s">
        <v>388</v>
      </c>
      <c r="E7" s="12" t="s">
        <v>389</v>
      </c>
      <c r="F7" s="14" t="s">
        <v>390</v>
      </c>
      <c r="G7" s="12" t="s">
        <v>391</v>
      </c>
      <c r="H7" s="192" t="s">
        <v>392</v>
      </c>
      <c r="I7" s="185" t="s">
        <v>393</v>
      </c>
      <c r="J7" s="185" t="s">
        <v>394</v>
      </c>
      <c r="K7" s="185" t="s">
        <v>395</v>
      </c>
      <c r="L7" s="185" t="s">
        <v>396</v>
      </c>
      <c r="M7" s="185" t="s">
        <v>397</v>
      </c>
      <c r="N7" s="185" t="s">
        <v>398</v>
      </c>
      <c r="O7" s="186" t="s">
        <v>399</v>
      </c>
      <c r="P7" s="15" t="s">
        <v>400</v>
      </c>
    </row>
    <row r="8" spans="1:16" ht="15.75" thickBot="1">
      <c r="A8" s="166"/>
      <c r="B8" s="84" t="s">
        <v>24</v>
      </c>
      <c r="C8" s="86">
        <f aca="true" t="shared" si="0" ref="C8:O8">C9+C12+C17</f>
        <v>13599410</v>
      </c>
      <c r="D8" s="86">
        <f t="shared" si="0"/>
        <v>0</v>
      </c>
      <c r="E8" s="86">
        <f t="shared" si="0"/>
        <v>0</v>
      </c>
      <c r="F8" s="86">
        <f t="shared" si="0"/>
        <v>0</v>
      </c>
      <c r="G8" s="86">
        <f t="shared" si="0"/>
        <v>0</v>
      </c>
      <c r="H8" s="193">
        <f t="shared" si="0"/>
        <v>69500</v>
      </c>
      <c r="I8" s="86">
        <f t="shared" si="0"/>
        <v>27248</v>
      </c>
      <c r="J8" s="86">
        <f t="shared" si="0"/>
        <v>28000</v>
      </c>
      <c r="K8" s="86">
        <f t="shared" si="0"/>
        <v>51715</v>
      </c>
      <c r="L8" s="86">
        <f t="shared" si="0"/>
        <v>23000</v>
      </c>
      <c r="M8" s="86">
        <f t="shared" si="0"/>
        <v>22740</v>
      </c>
      <c r="N8" s="86">
        <f t="shared" si="0"/>
        <v>20187</v>
      </c>
      <c r="O8" s="86">
        <f t="shared" si="0"/>
        <v>33300</v>
      </c>
      <c r="P8" s="87">
        <f aca="true" t="shared" si="1" ref="P8:P48">SUM(C8:O8)</f>
        <v>13875100</v>
      </c>
    </row>
    <row r="9" spans="1:16" ht="29.25">
      <c r="A9" s="165" t="s">
        <v>25</v>
      </c>
      <c r="B9" s="120" t="s">
        <v>153</v>
      </c>
      <c r="C9" s="60">
        <f aca="true" t="shared" si="2" ref="C9:O9">SUM(C10:C11)</f>
        <v>12591494</v>
      </c>
      <c r="D9" s="60">
        <f t="shared" si="2"/>
        <v>0</v>
      </c>
      <c r="E9" s="60">
        <f t="shared" si="2"/>
        <v>0</v>
      </c>
      <c r="F9" s="60">
        <f t="shared" si="2"/>
        <v>0</v>
      </c>
      <c r="G9" s="60">
        <f t="shared" si="2"/>
        <v>0</v>
      </c>
      <c r="H9" s="194">
        <f t="shared" si="2"/>
        <v>0</v>
      </c>
      <c r="I9" s="60">
        <f t="shared" si="2"/>
        <v>0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0</v>
      </c>
      <c r="N9" s="60">
        <f t="shared" si="2"/>
        <v>0</v>
      </c>
      <c r="O9" s="60">
        <f t="shared" si="2"/>
        <v>0</v>
      </c>
      <c r="P9" s="19">
        <f t="shared" si="1"/>
        <v>12591494</v>
      </c>
    </row>
    <row r="10" spans="1:16" ht="43.5">
      <c r="A10" s="24" t="s">
        <v>26</v>
      </c>
      <c r="B10" s="21" t="s">
        <v>154</v>
      </c>
      <c r="C10" s="22">
        <v>134465</v>
      </c>
      <c r="D10" s="22"/>
      <c r="E10" s="22"/>
      <c r="F10" s="25"/>
      <c r="G10" s="22"/>
      <c r="H10" s="38"/>
      <c r="I10" s="22"/>
      <c r="J10" s="22"/>
      <c r="K10" s="22"/>
      <c r="L10" s="22"/>
      <c r="M10" s="22"/>
      <c r="N10" s="22"/>
      <c r="O10" s="22"/>
      <c r="P10" s="19">
        <f t="shared" si="1"/>
        <v>134465</v>
      </c>
    </row>
    <row r="11" spans="1:16" ht="43.5">
      <c r="A11" s="24" t="s">
        <v>27</v>
      </c>
      <c r="B11" s="21" t="s">
        <v>155</v>
      </c>
      <c r="C11" s="22">
        <f>12389714+40000+5468+18000+3847</f>
        <v>12457029</v>
      </c>
      <c r="D11" s="22"/>
      <c r="E11" s="26"/>
      <c r="F11" s="25"/>
      <c r="G11" s="22"/>
      <c r="H11" s="38"/>
      <c r="I11" s="22"/>
      <c r="J11" s="22"/>
      <c r="K11" s="22"/>
      <c r="L11" s="22"/>
      <c r="M11" s="22"/>
      <c r="N11" s="22"/>
      <c r="O11" s="22"/>
      <c r="P11" s="19">
        <f t="shared" si="1"/>
        <v>12457029</v>
      </c>
    </row>
    <row r="12" spans="1:16" ht="15">
      <c r="A12" s="20" t="s">
        <v>156</v>
      </c>
      <c r="B12" s="21" t="s">
        <v>157</v>
      </c>
      <c r="C12" s="22">
        <f>C13</f>
        <v>967916</v>
      </c>
      <c r="D12" s="22"/>
      <c r="E12" s="22"/>
      <c r="F12" s="25"/>
      <c r="G12" s="22"/>
      <c r="H12" s="38">
        <f aca="true" t="shared" si="3" ref="H12:O12">H13</f>
        <v>69500</v>
      </c>
      <c r="I12" s="38">
        <f t="shared" si="3"/>
        <v>27248</v>
      </c>
      <c r="J12" s="38">
        <f t="shared" si="3"/>
        <v>28000</v>
      </c>
      <c r="K12" s="38">
        <f t="shared" si="3"/>
        <v>51715</v>
      </c>
      <c r="L12" s="38">
        <f t="shared" si="3"/>
        <v>23000</v>
      </c>
      <c r="M12" s="38">
        <f t="shared" si="3"/>
        <v>22740</v>
      </c>
      <c r="N12" s="38">
        <f t="shared" si="3"/>
        <v>20187</v>
      </c>
      <c r="O12" s="38">
        <f t="shared" si="3"/>
        <v>33300</v>
      </c>
      <c r="P12" s="19">
        <f t="shared" si="1"/>
        <v>1243606</v>
      </c>
    </row>
    <row r="13" spans="1:16" ht="15">
      <c r="A13" s="20" t="s">
        <v>28</v>
      </c>
      <c r="B13" s="21" t="s">
        <v>29</v>
      </c>
      <c r="C13" s="22">
        <f>SUM(C14:C16)</f>
        <v>967916</v>
      </c>
      <c r="D13" s="22"/>
      <c r="E13" s="22"/>
      <c r="F13" s="25"/>
      <c r="G13" s="22"/>
      <c r="H13" s="38">
        <f aca="true" t="shared" si="4" ref="H13:O13">SUM(H14:H16)</f>
        <v>69500</v>
      </c>
      <c r="I13" s="22">
        <f t="shared" si="4"/>
        <v>27248</v>
      </c>
      <c r="J13" s="22">
        <f t="shared" si="4"/>
        <v>28000</v>
      </c>
      <c r="K13" s="22">
        <f t="shared" si="4"/>
        <v>51715</v>
      </c>
      <c r="L13" s="22">
        <f t="shared" si="4"/>
        <v>23000</v>
      </c>
      <c r="M13" s="22">
        <f t="shared" si="4"/>
        <v>22740</v>
      </c>
      <c r="N13" s="22">
        <f t="shared" si="4"/>
        <v>20187</v>
      </c>
      <c r="O13" s="22">
        <f t="shared" si="4"/>
        <v>33300</v>
      </c>
      <c r="P13" s="19">
        <f t="shared" si="1"/>
        <v>1243606</v>
      </c>
    </row>
    <row r="14" spans="1:16" ht="15">
      <c r="A14" s="24" t="s">
        <v>12</v>
      </c>
      <c r="B14" s="21" t="s">
        <v>30</v>
      </c>
      <c r="C14" s="29">
        <v>468565</v>
      </c>
      <c r="D14" s="27"/>
      <c r="E14" s="27"/>
      <c r="F14" s="27"/>
      <c r="G14" s="28"/>
      <c r="H14" s="195">
        <v>60000</v>
      </c>
      <c r="I14" s="27">
        <v>25183</v>
      </c>
      <c r="J14" s="27">
        <v>26300</v>
      </c>
      <c r="K14" s="27">
        <v>46455</v>
      </c>
      <c r="L14" s="27">
        <v>23000</v>
      </c>
      <c r="M14" s="28">
        <v>22300</v>
      </c>
      <c r="N14" s="28">
        <v>19223</v>
      </c>
      <c r="O14" s="27">
        <f>31700+300</f>
        <v>32000</v>
      </c>
      <c r="P14" s="19">
        <f t="shared" si="1"/>
        <v>723026</v>
      </c>
    </row>
    <row r="15" spans="1:16" ht="15">
      <c r="A15" s="24" t="s">
        <v>13</v>
      </c>
      <c r="B15" s="21" t="s">
        <v>31</v>
      </c>
      <c r="C15" s="29">
        <v>275209</v>
      </c>
      <c r="D15" s="27"/>
      <c r="E15" s="27"/>
      <c r="F15" s="27"/>
      <c r="G15" s="28"/>
      <c r="H15" s="195">
        <v>8300</v>
      </c>
      <c r="I15" s="27">
        <v>971</v>
      </c>
      <c r="J15" s="27"/>
      <c r="K15" s="27">
        <v>1950</v>
      </c>
      <c r="L15" s="27"/>
      <c r="M15" s="27">
        <v>200</v>
      </c>
      <c r="N15" s="27">
        <v>964</v>
      </c>
      <c r="O15" s="27">
        <v>1300</v>
      </c>
      <c r="P15" s="19">
        <f t="shared" si="1"/>
        <v>288894</v>
      </c>
    </row>
    <row r="16" spans="1:16" ht="29.25">
      <c r="A16" s="24" t="s">
        <v>236</v>
      </c>
      <c r="B16" s="21" t="s">
        <v>237</v>
      </c>
      <c r="C16" s="29">
        <v>224142</v>
      </c>
      <c r="D16" s="27"/>
      <c r="E16" s="27"/>
      <c r="F16" s="27"/>
      <c r="G16" s="28"/>
      <c r="H16" s="195">
        <v>1200</v>
      </c>
      <c r="I16" s="27">
        <v>1094</v>
      </c>
      <c r="J16" s="27">
        <v>1700</v>
      </c>
      <c r="K16" s="27">
        <v>3310</v>
      </c>
      <c r="L16" s="27"/>
      <c r="M16" s="27">
        <v>240</v>
      </c>
      <c r="N16" s="27"/>
      <c r="O16" s="27"/>
      <c r="P16" s="19">
        <f t="shared" si="1"/>
        <v>231686</v>
      </c>
    </row>
    <row r="17" spans="1:16" ht="15.75" thickBot="1">
      <c r="A17" s="167" t="s">
        <v>14</v>
      </c>
      <c r="B17" s="44" t="s">
        <v>32</v>
      </c>
      <c r="C17" s="45">
        <v>40000</v>
      </c>
      <c r="D17" s="45"/>
      <c r="E17" s="45"/>
      <c r="F17" s="46"/>
      <c r="G17" s="45"/>
      <c r="H17" s="196"/>
      <c r="I17" s="106"/>
      <c r="J17" s="106"/>
      <c r="K17" s="48"/>
      <c r="L17" s="48"/>
      <c r="M17" s="48"/>
      <c r="N17" s="48"/>
      <c r="O17" s="49"/>
      <c r="P17" s="118">
        <f t="shared" si="1"/>
        <v>40000</v>
      </c>
    </row>
    <row r="18" spans="1:16" ht="15.75" thickBot="1">
      <c r="A18" s="166"/>
      <c r="B18" s="84" t="s">
        <v>33</v>
      </c>
      <c r="C18" s="86">
        <f aca="true" t="shared" si="5" ref="C18:O18">SUM(C19:C25)</f>
        <v>124646</v>
      </c>
      <c r="D18" s="86">
        <f t="shared" si="5"/>
        <v>1270</v>
      </c>
      <c r="E18" s="86">
        <f t="shared" si="5"/>
        <v>0</v>
      </c>
      <c r="F18" s="86">
        <f t="shared" si="5"/>
        <v>2</v>
      </c>
      <c r="G18" s="86">
        <f t="shared" si="5"/>
        <v>0</v>
      </c>
      <c r="H18" s="197">
        <f t="shared" si="5"/>
        <v>2960</v>
      </c>
      <c r="I18" s="85">
        <f t="shared" si="5"/>
        <v>1700</v>
      </c>
      <c r="J18" s="85">
        <f t="shared" si="5"/>
        <v>500</v>
      </c>
      <c r="K18" s="85">
        <f t="shared" si="5"/>
        <v>54661</v>
      </c>
      <c r="L18" s="85">
        <f t="shared" si="5"/>
        <v>450</v>
      </c>
      <c r="M18" s="85">
        <f t="shared" si="5"/>
        <v>1060</v>
      </c>
      <c r="N18" s="85">
        <f t="shared" si="5"/>
        <v>2200</v>
      </c>
      <c r="O18" s="85">
        <f t="shared" si="5"/>
        <v>10752</v>
      </c>
      <c r="P18" s="87">
        <f t="shared" si="1"/>
        <v>200201</v>
      </c>
    </row>
    <row r="19" spans="1:16" ht="29.25">
      <c r="A19" s="168" t="s">
        <v>158</v>
      </c>
      <c r="B19" s="169" t="s">
        <v>159</v>
      </c>
      <c r="C19" s="60">
        <v>800</v>
      </c>
      <c r="D19" s="60">
        <v>1270</v>
      </c>
      <c r="E19" s="60"/>
      <c r="F19" s="89">
        <v>2</v>
      </c>
      <c r="G19" s="17"/>
      <c r="H19" s="198">
        <v>150</v>
      </c>
      <c r="I19" s="61"/>
      <c r="J19" s="63">
        <v>200</v>
      </c>
      <c r="K19" s="63">
        <v>1480</v>
      </c>
      <c r="L19" s="63"/>
      <c r="M19" s="63">
        <v>40</v>
      </c>
      <c r="N19" s="63"/>
      <c r="O19" s="64"/>
      <c r="P19" s="19">
        <f t="shared" si="1"/>
        <v>3942</v>
      </c>
    </row>
    <row r="20" spans="1:16" ht="29.25">
      <c r="A20" s="20" t="s">
        <v>34</v>
      </c>
      <c r="B20" s="21" t="s">
        <v>35</v>
      </c>
      <c r="C20" s="22">
        <v>2500</v>
      </c>
      <c r="D20" s="22"/>
      <c r="E20" s="22"/>
      <c r="F20" s="25"/>
      <c r="G20" s="22"/>
      <c r="H20" s="27"/>
      <c r="I20" s="28">
        <v>55</v>
      </c>
      <c r="J20" s="29">
        <v>200</v>
      </c>
      <c r="K20" s="29">
        <v>750</v>
      </c>
      <c r="L20" s="29">
        <v>200</v>
      </c>
      <c r="M20" s="29">
        <v>20</v>
      </c>
      <c r="N20" s="29">
        <v>200</v>
      </c>
      <c r="O20" s="30">
        <v>100</v>
      </c>
      <c r="P20" s="19">
        <f t="shared" si="1"/>
        <v>4025</v>
      </c>
    </row>
    <row r="21" spans="1:16" ht="15">
      <c r="A21" s="20" t="s">
        <v>16</v>
      </c>
      <c r="B21" s="21" t="s">
        <v>15</v>
      </c>
      <c r="C21" s="22">
        <v>10000</v>
      </c>
      <c r="D21" s="22"/>
      <c r="E21" s="22"/>
      <c r="F21" s="25"/>
      <c r="G21" s="22"/>
      <c r="H21" s="27">
        <v>810</v>
      </c>
      <c r="I21" s="28">
        <v>95</v>
      </c>
      <c r="J21" s="29">
        <v>100</v>
      </c>
      <c r="K21" s="29">
        <v>2831</v>
      </c>
      <c r="L21" s="29"/>
      <c r="M21" s="29">
        <v>400</v>
      </c>
      <c r="N21" s="29">
        <f>100+300</f>
        <v>400</v>
      </c>
      <c r="O21" s="30">
        <v>20</v>
      </c>
      <c r="P21" s="19">
        <f t="shared" si="1"/>
        <v>14656</v>
      </c>
    </row>
    <row r="22" spans="1:16" ht="15">
      <c r="A22" s="20" t="s">
        <v>160</v>
      </c>
      <c r="B22" s="21" t="s">
        <v>161</v>
      </c>
      <c r="C22" s="22">
        <v>20000</v>
      </c>
      <c r="D22" s="22"/>
      <c r="E22" s="22"/>
      <c r="F22" s="25"/>
      <c r="G22" s="22"/>
      <c r="H22" s="27">
        <v>200</v>
      </c>
      <c r="I22" s="28"/>
      <c r="J22" s="29"/>
      <c r="K22" s="29">
        <v>800</v>
      </c>
      <c r="L22" s="29">
        <v>250</v>
      </c>
      <c r="M22" s="29"/>
      <c r="N22" s="29"/>
      <c r="O22" s="30"/>
      <c r="P22" s="19">
        <f t="shared" si="1"/>
        <v>21250</v>
      </c>
    </row>
    <row r="23" spans="1:16" ht="29.25">
      <c r="A23" s="20" t="s">
        <v>162</v>
      </c>
      <c r="B23" s="21" t="s">
        <v>163</v>
      </c>
      <c r="C23" s="22">
        <v>26185</v>
      </c>
      <c r="D23" s="22"/>
      <c r="E23" s="22"/>
      <c r="F23" s="25"/>
      <c r="G23" s="22"/>
      <c r="H23" s="199"/>
      <c r="I23" s="28">
        <v>1550</v>
      </c>
      <c r="J23" s="29"/>
      <c r="K23" s="29">
        <v>800</v>
      </c>
      <c r="L23" s="29"/>
      <c r="M23" s="29">
        <v>600</v>
      </c>
      <c r="N23" s="29">
        <f>500+600</f>
        <v>1100</v>
      </c>
      <c r="O23" s="30">
        <v>100</v>
      </c>
      <c r="P23" s="19">
        <f t="shared" si="1"/>
        <v>30335</v>
      </c>
    </row>
    <row r="24" spans="1:16" ht="15">
      <c r="A24" s="20" t="s">
        <v>164</v>
      </c>
      <c r="B24" s="21" t="s">
        <v>36</v>
      </c>
      <c r="C24" s="22">
        <f>19161+46000</f>
        <v>65161</v>
      </c>
      <c r="D24" s="22"/>
      <c r="E24" s="22"/>
      <c r="F24" s="25"/>
      <c r="G24" s="22"/>
      <c r="H24" s="27"/>
      <c r="I24" s="31"/>
      <c r="J24" s="29"/>
      <c r="K24" s="29"/>
      <c r="L24" s="29"/>
      <c r="M24" s="29"/>
      <c r="N24" s="29">
        <v>500</v>
      </c>
      <c r="O24" s="30">
        <v>10532</v>
      </c>
      <c r="P24" s="19">
        <f t="shared" si="1"/>
        <v>76193</v>
      </c>
    </row>
    <row r="25" spans="1:16" ht="44.25" thickBot="1">
      <c r="A25" s="20" t="s">
        <v>142</v>
      </c>
      <c r="B25" s="21" t="s">
        <v>401</v>
      </c>
      <c r="C25" s="22"/>
      <c r="D25" s="22"/>
      <c r="E25" s="22"/>
      <c r="F25" s="25"/>
      <c r="G25" s="22"/>
      <c r="H25" s="41">
        <v>1800</v>
      </c>
      <c r="I25" s="25"/>
      <c r="J25" s="25"/>
      <c r="K25" s="48">
        <v>48000</v>
      </c>
      <c r="L25" s="25"/>
      <c r="M25" s="29"/>
      <c r="N25" s="25"/>
      <c r="O25" s="25"/>
      <c r="P25" s="19">
        <f t="shared" si="1"/>
        <v>49800</v>
      </c>
    </row>
    <row r="26" spans="1:16" ht="15.75" thickBot="1">
      <c r="A26" s="170" t="s">
        <v>37</v>
      </c>
      <c r="B26" s="84" t="s">
        <v>38</v>
      </c>
      <c r="C26" s="86">
        <f aca="true" t="shared" si="6" ref="C26:O26">SUM(C27:C27)</f>
        <v>6269177</v>
      </c>
      <c r="D26" s="86">
        <f t="shared" si="6"/>
        <v>741644</v>
      </c>
      <c r="E26" s="86">
        <f t="shared" si="6"/>
        <v>2508</v>
      </c>
      <c r="F26" s="86">
        <f t="shared" si="6"/>
        <v>70262</v>
      </c>
      <c r="G26" s="86">
        <f t="shared" si="6"/>
        <v>3792</v>
      </c>
      <c r="H26" s="193">
        <f t="shared" si="6"/>
        <v>117676</v>
      </c>
      <c r="I26" s="86">
        <f t="shared" si="6"/>
        <v>12221</v>
      </c>
      <c r="J26" s="86">
        <f t="shared" si="6"/>
        <v>0</v>
      </c>
      <c r="K26" s="86">
        <f t="shared" si="6"/>
        <v>38387</v>
      </c>
      <c r="L26" s="86">
        <f t="shared" si="6"/>
        <v>0</v>
      </c>
      <c r="M26" s="86">
        <f t="shared" si="6"/>
        <v>3528</v>
      </c>
      <c r="N26" s="86">
        <f t="shared" si="6"/>
        <v>91155</v>
      </c>
      <c r="O26" s="86">
        <f t="shared" si="6"/>
        <v>21570</v>
      </c>
      <c r="P26" s="87">
        <f>SUM(C26:O26)</f>
        <v>7371920</v>
      </c>
    </row>
    <row r="27" spans="1:16" ht="30" thickBot="1">
      <c r="A27" s="184" t="s">
        <v>235</v>
      </c>
      <c r="B27" s="156" t="s">
        <v>238</v>
      </c>
      <c r="C27" s="60">
        <f>6258437+4540+6200</f>
        <v>6269177</v>
      </c>
      <c r="D27" s="60">
        <v>741644</v>
      </c>
      <c r="E27" s="60">
        <f>2108+400</f>
        <v>2508</v>
      </c>
      <c r="F27" s="60">
        <v>70262</v>
      </c>
      <c r="G27" s="60">
        <v>3792</v>
      </c>
      <c r="H27" s="200">
        <v>117676</v>
      </c>
      <c r="I27" s="89">
        <v>12221</v>
      </c>
      <c r="J27" s="89"/>
      <c r="K27" s="89">
        <v>38387</v>
      </c>
      <c r="L27" s="89"/>
      <c r="M27" s="89">
        <v>3528</v>
      </c>
      <c r="N27" s="89">
        <v>91155</v>
      </c>
      <c r="O27" s="89">
        <v>21570</v>
      </c>
      <c r="P27" s="19">
        <f t="shared" si="1"/>
        <v>7371920</v>
      </c>
    </row>
    <row r="28" spans="1:16" ht="15.75" thickBot="1">
      <c r="A28" s="170" t="s">
        <v>39</v>
      </c>
      <c r="B28" s="84" t="s">
        <v>40</v>
      </c>
      <c r="C28" s="85">
        <f aca="true" t="shared" si="7" ref="C28:O28">SUM(C29:C31)</f>
        <v>418825</v>
      </c>
      <c r="D28" s="85">
        <f t="shared" si="7"/>
        <v>0</v>
      </c>
      <c r="E28" s="85">
        <f t="shared" si="7"/>
        <v>0</v>
      </c>
      <c r="F28" s="85">
        <f t="shared" si="7"/>
        <v>0</v>
      </c>
      <c r="G28" s="86">
        <f t="shared" si="7"/>
        <v>100000</v>
      </c>
      <c r="H28" s="193">
        <f t="shared" si="7"/>
        <v>0</v>
      </c>
      <c r="I28" s="86">
        <f t="shared" si="7"/>
        <v>35902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7">
        <f t="shared" si="1"/>
        <v>554727</v>
      </c>
    </row>
    <row r="29" spans="1:16" ht="29.25">
      <c r="A29" s="168" t="s">
        <v>165</v>
      </c>
      <c r="B29" s="120" t="s">
        <v>239</v>
      </c>
      <c r="C29" s="89"/>
      <c r="D29" s="89"/>
      <c r="E29" s="89"/>
      <c r="F29" s="89"/>
      <c r="G29" s="60"/>
      <c r="H29" s="201"/>
      <c r="I29" s="103"/>
      <c r="J29" s="103"/>
      <c r="K29" s="103"/>
      <c r="L29" s="103"/>
      <c r="M29" s="103"/>
      <c r="N29" s="103"/>
      <c r="O29" s="103"/>
      <c r="P29" s="19">
        <f t="shared" si="1"/>
        <v>0</v>
      </c>
    </row>
    <row r="30" spans="1:16" ht="29.25">
      <c r="A30" s="35" t="s">
        <v>41</v>
      </c>
      <c r="B30" s="21" t="s">
        <v>240</v>
      </c>
      <c r="C30" s="25">
        <f>325000+93825</f>
        <v>418825</v>
      </c>
      <c r="D30" s="25"/>
      <c r="E30" s="25"/>
      <c r="F30" s="25"/>
      <c r="G30" s="22">
        <v>100000</v>
      </c>
      <c r="H30" s="202"/>
      <c r="I30" s="40">
        <v>35902</v>
      </c>
      <c r="J30" s="40"/>
      <c r="K30" s="40"/>
      <c r="L30" s="40"/>
      <c r="M30" s="36"/>
      <c r="N30" s="40"/>
      <c r="O30" s="40"/>
      <c r="P30" s="19">
        <f t="shared" si="1"/>
        <v>554727</v>
      </c>
    </row>
    <row r="31" spans="1:16" ht="30" thickBot="1">
      <c r="A31" s="167" t="s">
        <v>42</v>
      </c>
      <c r="B31" s="21" t="s">
        <v>241</v>
      </c>
      <c r="C31" s="45"/>
      <c r="D31" s="45"/>
      <c r="E31" s="45"/>
      <c r="F31" s="45"/>
      <c r="G31" s="45"/>
      <c r="H31" s="203"/>
      <c r="I31" s="45"/>
      <c r="J31" s="45"/>
      <c r="K31" s="45"/>
      <c r="L31" s="46"/>
      <c r="M31" s="187"/>
      <c r="N31" s="240"/>
      <c r="O31" s="188"/>
      <c r="P31" s="118">
        <f t="shared" si="1"/>
        <v>0</v>
      </c>
    </row>
    <row r="32" spans="1:16" ht="15.75" thickBot="1">
      <c r="A32" s="170" t="s">
        <v>43</v>
      </c>
      <c r="B32" s="84" t="s">
        <v>44</v>
      </c>
      <c r="C32" s="85">
        <f>SUM(C33,C34,C41)</f>
        <v>283561</v>
      </c>
      <c r="D32" s="85">
        <f aca="true" t="shared" si="8" ref="D32:J32">SUM(D33,D34,D41)</f>
        <v>8196149</v>
      </c>
      <c r="E32" s="85">
        <f t="shared" si="8"/>
        <v>71070</v>
      </c>
      <c r="F32" s="85">
        <f t="shared" si="8"/>
        <v>155926</v>
      </c>
      <c r="G32" s="85">
        <f t="shared" si="8"/>
        <v>0</v>
      </c>
      <c r="H32" s="85">
        <f t="shared" si="8"/>
        <v>233370</v>
      </c>
      <c r="I32" s="85">
        <f t="shared" si="8"/>
        <v>77699</v>
      </c>
      <c r="J32" s="85">
        <f t="shared" si="8"/>
        <v>105400</v>
      </c>
      <c r="K32" s="85">
        <f>SUM(K33,K34,K41)</f>
        <v>553951</v>
      </c>
      <c r="L32" s="85">
        <f>SUM(L33,L34,L41)</f>
        <v>5000</v>
      </c>
      <c r="M32" s="85">
        <f>SUM(M33,M34,M41)</f>
        <v>32341</v>
      </c>
      <c r="N32" s="85">
        <f>SUM(N33,N34,N41)</f>
        <v>5530</v>
      </c>
      <c r="O32" s="85">
        <f>SUM(O33,O34,O41)</f>
        <v>26250</v>
      </c>
      <c r="P32" s="87">
        <f>SUM(C32:O32)</f>
        <v>9746247</v>
      </c>
    </row>
    <row r="33" spans="1:16" ht="31.5">
      <c r="A33" s="171" t="s">
        <v>220</v>
      </c>
      <c r="B33" s="204" t="s">
        <v>221</v>
      </c>
      <c r="C33" s="65">
        <v>36526</v>
      </c>
      <c r="D33" s="60"/>
      <c r="E33" s="89"/>
      <c r="F33" s="60"/>
      <c r="G33" s="60"/>
      <c r="H33" s="205"/>
      <c r="I33" s="62"/>
      <c r="J33" s="63"/>
      <c r="K33" s="63"/>
      <c r="L33" s="63"/>
      <c r="M33" s="63"/>
      <c r="N33" s="63"/>
      <c r="O33" s="64"/>
      <c r="P33" s="19">
        <f t="shared" si="1"/>
        <v>36526</v>
      </c>
    </row>
    <row r="34" spans="1:16" ht="45">
      <c r="A34" s="37" t="s">
        <v>45</v>
      </c>
      <c r="B34" s="32" t="s">
        <v>242</v>
      </c>
      <c r="C34" s="33">
        <f>SUM(C35:C40)</f>
        <v>247035</v>
      </c>
      <c r="D34" s="33">
        <f aca="true" t="shared" si="9" ref="D34:O34">SUM(D35:D40)</f>
        <v>8196149</v>
      </c>
      <c r="E34" s="42">
        <f t="shared" si="9"/>
        <v>71070</v>
      </c>
      <c r="F34" s="33">
        <f t="shared" si="9"/>
        <v>155926</v>
      </c>
      <c r="G34" s="33">
        <f t="shared" si="9"/>
        <v>0</v>
      </c>
      <c r="H34" s="43">
        <f t="shared" si="9"/>
        <v>229716</v>
      </c>
      <c r="I34" s="42">
        <f t="shared" si="9"/>
        <v>77699</v>
      </c>
      <c r="J34" s="33">
        <f t="shared" si="9"/>
        <v>105400</v>
      </c>
      <c r="K34" s="42">
        <f t="shared" si="9"/>
        <v>552317</v>
      </c>
      <c r="L34" s="33">
        <f>SUM(L35:L40)</f>
        <v>4700</v>
      </c>
      <c r="M34" s="42">
        <f t="shared" si="9"/>
        <v>15500</v>
      </c>
      <c r="N34" s="33">
        <f t="shared" si="9"/>
        <v>5530</v>
      </c>
      <c r="O34" s="43">
        <f t="shared" si="9"/>
        <v>26250</v>
      </c>
      <c r="P34" s="19">
        <f t="shared" si="1"/>
        <v>9687292</v>
      </c>
    </row>
    <row r="35" spans="1:16" ht="57.75">
      <c r="A35" s="24" t="s">
        <v>166</v>
      </c>
      <c r="B35" s="21" t="s">
        <v>167</v>
      </c>
      <c r="C35" s="43"/>
      <c r="D35" s="43"/>
      <c r="E35" s="42"/>
      <c r="F35" s="33"/>
      <c r="G35" s="33"/>
      <c r="H35" s="43"/>
      <c r="I35" s="33"/>
      <c r="J35" s="33"/>
      <c r="K35" s="22"/>
      <c r="L35" s="33"/>
      <c r="M35" s="33"/>
      <c r="N35" s="33"/>
      <c r="O35" s="34"/>
      <c r="P35" s="19">
        <f t="shared" si="1"/>
        <v>0</v>
      </c>
    </row>
    <row r="36" spans="1:16" ht="15">
      <c r="A36" s="24" t="s">
        <v>168</v>
      </c>
      <c r="B36" s="21" t="s">
        <v>169</v>
      </c>
      <c r="C36" s="38">
        <v>108294</v>
      </c>
      <c r="D36" s="38"/>
      <c r="E36" s="41"/>
      <c r="F36" s="22"/>
      <c r="G36" s="22"/>
      <c r="H36" s="43"/>
      <c r="I36" s="33"/>
      <c r="J36" s="36">
        <v>11000</v>
      </c>
      <c r="K36" s="22">
        <v>62791</v>
      </c>
      <c r="L36" s="33"/>
      <c r="M36" s="22">
        <v>3600</v>
      </c>
      <c r="N36" s="33"/>
      <c r="O36" s="34"/>
      <c r="P36" s="19">
        <f t="shared" si="1"/>
        <v>185685</v>
      </c>
    </row>
    <row r="37" spans="1:16" ht="15">
      <c r="A37" s="24" t="s">
        <v>170</v>
      </c>
      <c r="B37" s="21" t="s">
        <v>171</v>
      </c>
      <c r="C37" s="22"/>
      <c r="D37" s="22"/>
      <c r="E37" s="22"/>
      <c r="F37" s="25"/>
      <c r="G37" s="22"/>
      <c r="H37" s="199"/>
      <c r="I37" s="31"/>
      <c r="J37" s="29"/>
      <c r="K37" s="29"/>
      <c r="L37" s="29"/>
      <c r="M37" s="29"/>
      <c r="N37" s="29"/>
      <c r="O37" s="30"/>
      <c r="P37" s="19">
        <f t="shared" si="1"/>
        <v>0</v>
      </c>
    </row>
    <row r="38" spans="1:16" ht="29.25">
      <c r="A38" s="24" t="s">
        <v>172</v>
      </c>
      <c r="B38" s="21" t="s">
        <v>173</v>
      </c>
      <c r="C38" s="22"/>
      <c r="D38" s="22"/>
      <c r="E38" s="22"/>
      <c r="F38" s="25">
        <v>900</v>
      </c>
      <c r="G38" s="22"/>
      <c r="H38" s="27">
        <v>11884</v>
      </c>
      <c r="I38" s="28"/>
      <c r="J38" s="29"/>
      <c r="K38" s="29">
        <v>50</v>
      </c>
      <c r="L38" s="29"/>
      <c r="M38" s="29"/>
      <c r="N38" s="29"/>
      <c r="O38" s="30"/>
      <c r="P38" s="19">
        <f t="shared" si="1"/>
        <v>12834</v>
      </c>
    </row>
    <row r="39" spans="1:16" ht="15">
      <c r="A39" s="24" t="s">
        <v>46</v>
      </c>
      <c r="B39" s="21" t="s">
        <v>47</v>
      </c>
      <c r="C39" s="22">
        <v>112197</v>
      </c>
      <c r="D39" s="22">
        <v>31116</v>
      </c>
      <c r="E39" s="22">
        <v>31650</v>
      </c>
      <c r="F39" s="25">
        <v>25500</v>
      </c>
      <c r="G39" s="22"/>
      <c r="H39" s="27">
        <v>2100</v>
      </c>
      <c r="I39" s="28">
        <v>3200</v>
      </c>
      <c r="J39" s="29">
        <v>500</v>
      </c>
      <c r="K39" s="29">
        <v>19824</v>
      </c>
      <c r="L39" s="29">
        <v>4000</v>
      </c>
      <c r="M39" s="29">
        <v>1500</v>
      </c>
      <c r="N39" s="29">
        <v>1290</v>
      </c>
      <c r="O39" s="30">
        <v>2350</v>
      </c>
      <c r="P39" s="19">
        <f t="shared" si="1"/>
        <v>235227</v>
      </c>
    </row>
    <row r="40" spans="1:16" ht="29.25">
      <c r="A40" s="24" t="s">
        <v>48</v>
      </c>
      <c r="B40" s="21" t="s">
        <v>49</v>
      </c>
      <c r="C40" s="22">
        <v>26544</v>
      </c>
      <c r="D40" s="22">
        <v>8165033</v>
      </c>
      <c r="E40" s="22">
        <f>39820-400</f>
        <v>39420</v>
      </c>
      <c r="F40" s="25">
        <v>129526</v>
      </c>
      <c r="G40" s="22"/>
      <c r="H40" s="195">
        <v>215732</v>
      </c>
      <c r="I40" s="28">
        <v>74499</v>
      </c>
      <c r="J40" s="27">
        <v>93900</v>
      </c>
      <c r="K40" s="27">
        <v>469652</v>
      </c>
      <c r="L40" s="27">
        <v>700</v>
      </c>
      <c r="M40" s="27">
        <v>10400</v>
      </c>
      <c r="N40" s="27">
        <v>4240</v>
      </c>
      <c r="O40" s="27">
        <v>23900</v>
      </c>
      <c r="P40" s="19">
        <f>SUM(C40:O40)</f>
        <v>9253546</v>
      </c>
    </row>
    <row r="41" spans="1:16" ht="29.25">
      <c r="A41" s="24" t="s">
        <v>435</v>
      </c>
      <c r="B41" s="21" t="s">
        <v>437</v>
      </c>
      <c r="C41" s="127">
        <f aca="true" t="shared" si="10" ref="C41:J41">SUM(C42)</f>
        <v>0</v>
      </c>
      <c r="D41" s="28">
        <f t="shared" si="10"/>
        <v>0</v>
      </c>
      <c r="E41" s="127">
        <f t="shared" si="10"/>
        <v>0</v>
      </c>
      <c r="F41" s="28">
        <f t="shared" si="10"/>
        <v>0</v>
      </c>
      <c r="G41" s="127">
        <f t="shared" si="10"/>
        <v>0</v>
      </c>
      <c r="H41" s="28">
        <f t="shared" si="10"/>
        <v>3654</v>
      </c>
      <c r="I41" s="127">
        <f t="shared" si="10"/>
        <v>0</v>
      </c>
      <c r="J41" s="28">
        <f t="shared" si="10"/>
        <v>0</v>
      </c>
      <c r="K41" s="127">
        <f>SUM(K42)</f>
        <v>1634</v>
      </c>
      <c r="L41" s="28">
        <f>SUM(L42)</f>
        <v>300</v>
      </c>
      <c r="M41" s="127">
        <f>SUM(M42)</f>
        <v>16841</v>
      </c>
      <c r="N41" s="28">
        <f>SUM(N42)</f>
        <v>0</v>
      </c>
      <c r="O41" s="127">
        <f>SUM(O42)</f>
        <v>0</v>
      </c>
      <c r="P41" s="19">
        <f t="shared" si="1"/>
        <v>22429</v>
      </c>
    </row>
    <row r="42" spans="1:16" ht="15.75" thickBot="1">
      <c r="A42" s="272" t="s">
        <v>436</v>
      </c>
      <c r="B42" s="236" t="s">
        <v>438</v>
      </c>
      <c r="C42" s="191"/>
      <c r="D42" s="191"/>
      <c r="E42" s="191"/>
      <c r="F42" s="116"/>
      <c r="G42" s="191"/>
      <c r="H42" s="273">
        <v>3654</v>
      </c>
      <c r="I42" s="259"/>
      <c r="J42" s="275"/>
      <c r="K42" s="274">
        <v>1634</v>
      </c>
      <c r="L42" s="275">
        <v>300</v>
      </c>
      <c r="M42" s="274">
        <v>16841</v>
      </c>
      <c r="N42" s="275"/>
      <c r="O42" s="274"/>
      <c r="P42" s="19">
        <f t="shared" si="1"/>
        <v>22429</v>
      </c>
    </row>
    <row r="43" spans="1:16" ht="15.75" thickBot="1">
      <c r="A43" s="50"/>
      <c r="B43" s="51" t="s">
        <v>50</v>
      </c>
      <c r="C43" s="52">
        <f aca="true" t="shared" si="11" ref="C43:O43">SUM(C8+C18+C26+C28+C32)</f>
        <v>20695619</v>
      </c>
      <c r="D43" s="53">
        <f t="shared" si="11"/>
        <v>8939063</v>
      </c>
      <c r="E43" s="54">
        <f t="shared" si="11"/>
        <v>73578</v>
      </c>
      <c r="F43" s="55">
        <f t="shared" si="11"/>
        <v>226190</v>
      </c>
      <c r="G43" s="53">
        <f t="shared" si="11"/>
        <v>103792</v>
      </c>
      <c r="H43" s="206">
        <f t="shared" si="11"/>
        <v>423506</v>
      </c>
      <c r="I43" s="56">
        <f t="shared" si="11"/>
        <v>154770</v>
      </c>
      <c r="J43" s="56">
        <f t="shared" si="11"/>
        <v>133900</v>
      </c>
      <c r="K43" s="56">
        <f t="shared" si="11"/>
        <v>698714</v>
      </c>
      <c r="L43" s="56">
        <f t="shared" si="11"/>
        <v>28450</v>
      </c>
      <c r="M43" s="56">
        <f t="shared" si="11"/>
        <v>59669</v>
      </c>
      <c r="N43" s="57">
        <f t="shared" si="11"/>
        <v>119072</v>
      </c>
      <c r="O43" s="57">
        <f t="shared" si="11"/>
        <v>91872</v>
      </c>
      <c r="P43" s="87">
        <f>SUM(C43:O43)</f>
        <v>31748195</v>
      </c>
    </row>
    <row r="44" spans="1:16" ht="15">
      <c r="A44" s="58" t="s">
        <v>174</v>
      </c>
      <c r="B44" s="59" t="s">
        <v>51</v>
      </c>
      <c r="C44" s="241">
        <f>4700904-1869959</f>
        <v>2830945</v>
      </c>
      <c r="D44" s="60"/>
      <c r="E44" s="60"/>
      <c r="F44" s="60"/>
      <c r="G44" s="60"/>
      <c r="H44" s="198"/>
      <c r="I44" s="62"/>
      <c r="J44" s="63"/>
      <c r="K44" s="63"/>
      <c r="L44" s="63"/>
      <c r="M44" s="63"/>
      <c r="N44" s="64">
        <v>111450</v>
      </c>
      <c r="O44" s="63">
        <v>27200</v>
      </c>
      <c r="P44" s="19">
        <f t="shared" si="1"/>
        <v>2969595</v>
      </c>
    </row>
    <row r="45" spans="1:16" ht="15">
      <c r="A45" s="66"/>
      <c r="B45" s="67" t="s">
        <v>52</v>
      </c>
      <c r="C45" s="68">
        <f aca="true" t="shared" si="12" ref="C45:O45">SUM(C43:C44)</f>
        <v>23526564</v>
      </c>
      <c r="D45" s="69">
        <f t="shared" si="12"/>
        <v>8939063</v>
      </c>
      <c r="E45" s="69">
        <f t="shared" si="12"/>
        <v>73578</v>
      </c>
      <c r="F45" s="69">
        <f t="shared" si="12"/>
        <v>226190</v>
      </c>
      <c r="G45" s="69">
        <f t="shared" si="12"/>
        <v>103792</v>
      </c>
      <c r="H45" s="207">
        <f t="shared" si="12"/>
        <v>423506</v>
      </c>
      <c r="I45" s="69">
        <f t="shared" si="12"/>
        <v>154770</v>
      </c>
      <c r="J45" s="69">
        <f t="shared" si="12"/>
        <v>133900</v>
      </c>
      <c r="K45" s="69">
        <f t="shared" si="12"/>
        <v>698714</v>
      </c>
      <c r="L45" s="69">
        <f t="shared" si="12"/>
        <v>28450</v>
      </c>
      <c r="M45" s="69">
        <f t="shared" si="12"/>
        <v>59669</v>
      </c>
      <c r="N45" s="70">
        <f t="shared" si="12"/>
        <v>230522</v>
      </c>
      <c r="O45" s="69">
        <f t="shared" si="12"/>
        <v>119072</v>
      </c>
      <c r="P45" s="19">
        <f t="shared" si="1"/>
        <v>34717790</v>
      </c>
    </row>
    <row r="46" spans="1:16" ht="15">
      <c r="A46" s="66"/>
      <c r="B46" s="71" t="s">
        <v>402</v>
      </c>
      <c r="C46" s="72">
        <v>3213491</v>
      </c>
      <c r="D46" s="22">
        <v>1533044</v>
      </c>
      <c r="E46" s="22">
        <v>16970</v>
      </c>
      <c r="F46" s="22">
        <v>29725</v>
      </c>
      <c r="G46" s="22">
        <v>5187</v>
      </c>
      <c r="H46" s="27">
        <v>107323</v>
      </c>
      <c r="I46" s="28">
        <v>47297</v>
      </c>
      <c r="J46" s="29">
        <v>43481</v>
      </c>
      <c r="K46" s="29">
        <v>196058</v>
      </c>
      <c r="L46" s="29">
        <v>29010</v>
      </c>
      <c r="M46" s="29">
        <v>22737</v>
      </c>
      <c r="N46" s="30">
        <v>7119</v>
      </c>
      <c r="O46" s="29">
        <v>66762</v>
      </c>
      <c r="P46" s="19">
        <f t="shared" si="1"/>
        <v>5318204</v>
      </c>
    </row>
    <row r="47" spans="1:16" ht="15">
      <c r="A47" s="176" t="s">
        <v>223</v>
      </c>
      <c r="B47" s="208" t="s">
        <v>224</v>
      </c>
      <c r="C47" s="72"/>
      <c r="D47" s="22"/>
      <c r="E47" s="22"/>
      <c r="F47" s="22"/>
      <c r="G47" s="22"/>
      <c r="H47" s="27"/>
      <c r="I47" s="28"/>
      <c r="J47" s="29"/>
      <c r="K47" s="29"/>
      <c r="L47" s="29"/>
      <c r="M47" s="29"/>
      <c r="N47" s="30"/>
      <c r="O47" s="29"/>
      <c r="P47" s="19">
        <f t="shared" si="1"/>
        <v>0</v>
      </c>
    </row>
    <row r="48" spans="1:16" ht="15">
      <c r="A48" s="66"/>
      <c r="B48" s="71" t="s">
        <v>53</v>
      </c>
      <c r="C48" s="68">
        <f>SUM(C45:C46)</f>
        <v>26740055</v>
      </c>
      <c r="D48" s="69">
        <f>SUM(D45:D46)</f>
        <v>10472107</v>
      </c>
      <c r="E48" s="69">
        <f>SUM(E45:E46)</f>
        <v>90548</v>
      </c>
      <c r="F48" s="69">
        <f aca="true" t="shared" si="13" ref="F48:O48">SUM(F45:F47)</f>
        <v>255915</v>
      </c>
      <c r="G48" s="69">
        <f t="shared" si="13"/>
        <v>108979</v>
      </c>
      <c r="H48" s="207">
        <f t="shared" si="13"/>
        <v>530829</v>
      </c>
      <c r="I48" s="69">
        <f t="shared" si="13"/>
        <v>202067</v>
      </c>
      <c r="J48" s="69">
        <f t="shared" si="13"/>
        <v>177381</v>
      </c>
      <c r="K48" s="69">
        <f t="shared" si="13"/>
        <v>894772</v>
      </c>
      <c r="L48" s="69">
        <f t="shared" si="13"/>
        <v>57460</v>
      </c>
      <c r="M48" s="69">
        <f t="shared" si="13"/>
        <v>82406</v>
      </c>
      <c r="N48" s="69">
        <f t="shared" si="13"/>
        <v>237641</v>
      </c>
      <c r="O48" s="69">
        <f t="shared" si="13"/>
        <v>185834</v>
      </c>
      <c r="P48" s="19">
        <f t="shared" si="1"/>
        <v>40035994</v>
      </c>
    </row>
    <row r="49" spans="1:16" ht="15">
      <c r="A49" s="73"/>
      <c r="B49" s="74"/>
      <c r="C49" s="75"/>
      <c r="D49" s="76"/>
      <c r="E49" s="76"/>
      <c r="F49" s="76"/>
      <c r="G49" s="76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5">
      <c r="A50" s="73"/>
      <c r="B50" s="74"/>
      <c r="C50" s="174"/>
      <c r="D50" s="76"/>
      <c r="E50" s="76"/>
      <c r="F50" s="76"/>
      <c r="G50" s="76"/>
      <c r="H50" s="77"/>
      <c r="I50" s="77"/>
      <c r="J50" s="77"/>
      <c r="K50" s="77"/>
      <c r="L50" s="77"/>
      <c r="M50" s="77"/>
      <c r="N50" s="77"/>
      <c r="O50" s="77"/>
      <c r="P50" s="77"/>
    </row>
    <row r="51" spans="2:4" ht="15">
      <c r="B51" s="78" t="s">
        <v>22</v>
      </c>
      <c r="D51" s="4" t="s">
        <v>23</v>
      </c>
    </row>
    <row r="52" ht="15">
      <c r="B52" s="78"/>
    </row>
    <row r="53" ht="15">
      <c r="B53" s="78"/>
    </row>
    <row r="54" spans="1:16" ht="15">
      <c r="A54" s="73"/>
      <c r="B54" s="74"/>
      <c r="D54" s="79"/>
      <c r="E54" s="5" t="s">
        <v>54</v>
      </c>
      <c r="F54" s="5"/>
      <c r="G54" s="5"/>
      <c r="P54" s="80"/>
    </row>
    <row r="55" spans="1:7" ht="15">
      <c r="A55" s="73"/>
      <c r="B55" s="74"/>
      <c r="E55" s="7" t="s">
        <v>439</v>
      </c>
      <c r="F55" s="7"/>
      <c r="G55" s="7"/>
    </row>
    <row r="56" spans="1:7" ht="15">
      <c r="A56" s="81"/>
      <c r="B56" s="82"/>
      <c r="E56" s="7" t="s">
        <v>440</v>
      </c>
      <c r="F56" s="7"/>
      <c r="G56" s="7"/>
    </row>
    <row r="57" spans="1:7" ht="15">
      <c r="A57" s="81"/>
      <c r="B57" s="82"/>
      <c r="E57" s="7"/>
      <c r="F57" s="7"/>
      <c r="G57" s="7"/>
    </row>
    <row r="58" spans="1:4" ht="43.5" customHeight="1" thickBot="1">
      <c r="A58" s="471" t="s">
        <v>403</v>
      </c>
      <c r="B58" s="471"/>
      <c r="C58" s="471"/>
      <c r="D58" s="471"/>
    </row>
    <row r="59" spans="1:16" ht="86.25" thickBot="1">
      <c r="A59" s="10" t="s">
        <v>10</v>
      </c>
      <c r="B59" s="11" t="s">
        <v>152</v>
      </c>
      <c r="C59" s="12" t="s">
        <v>386</v>
      </c>
      <c r="D59" s="13" t="s">
        <v>388</v>
      </c>
      <c r="E59" s="12" t="s">
        <v>389</v>
      </c>
      <c r="F59" s="14" t="s">
        <v>390</v>
      </c>
      <c r="G59" s="12" t="s">
        <v>391</v>
      </c>
      <c r="H59" s="192" t="s">
        <v>392</v>
      </c>
      <c r="I59" s="185" t="s">
        <v>393</v>
      </c>
      <c r="J59" s="185" t="s">
        <v>394</v>
      </c>
      <c r="K59" s="185" t="s">
        <v>395</v>
      </c>
      <c r="L59" s="185" t="s">
        <v>396</v>
      </c>
      <c r="M59" s="185" t="s">
        <v>397</v>
      </c>
      <c r="N59" s="185" t="s">
        <v>398</v>
      </c>
      <c r="O59" s="186" t="s">
        <v>399</v>
      </c>
      <c r="P59" s="15" t="s">
        <v>400</v>
      </c>
    </row>
    <row r="60" spans="1:16" ht="15.75" thickBot="1">
      <c r="A60" s="83" t="s">
        <v>55</v>
      </c>
      <c r="B60" s="84" t="s">
        <v>56</v>
      </c>
      <c r="C60" s="85">
        <f>C61+C62+C63+C65+C66+C69</f>
        <v>2340752</v>
      </c>
      <c r="D60" s="85">
        <f aca="true" t="shared" si="14" ref="D60:O60">D61+D62+D63+D65+D66+D69</f>
        <v>0</v>
      </c>
      <c r="E60" s="85">
        <f t="shared" si="14"/>
        <v>0</v>
      </c>
      <c r="F60" s="85">
        <f t="shared" si="14"/>
        <v>0</v>
      </c>
      <c r="G60" s="85">
        <f t="shared" si="14"/>
        <v>0</v>
      </c>
      <c r="H60" s="85">
        <f t="shared" si="14"/>
        <v>83473</v>
      </c>
      <c r="I60" s="85">
        <f t="shared" si="14"/>
        <v>101715</v>
      </c>
      <c r="J60" s="85">
        <f t="shared" si="14"/>
        <v>64166</v>
      </c>
      <c r="K60" s="85">
        <f t="shared" si="14"/>
        <v>118465</v>
      </c>
      <c r="L60" s="85">
        <f t="shared" si="14"/>
        <v>72456</v>
      </c>
      <c r="M60" s="85">
        <f t="shared" si="14"/>
        <v>34322</v>
      </c>
      <c r="N60" s="85">
        <f t="shared" si="14"/>
        <v>44171</v>
      </c>
      <c r="O60" s="85">
        <f t="shared" si="14"/>
        <v>69679</v>
      </c>
      <c r="P60" s="87">
        <f>SUM(C60:O60)</f>
        <v>2929199</v>
      </c>
    </row>
    <row r="61" spans="1:16" ht="30">
      <c r="A61" s="88" t="s">
        <v>243</v>
      </c>
      <c r="B61" s="16" t="s">
        <v>244</v>
      </c>
      <c r="C61" s="18">
        <f>1603279+3847</f>
        <v>1607126</v>
      </c>
      <c r="D61" s="60"/>
      <c r="E61" s="60"/>
      <c r="F61" s="89"/>
      <c r="G61" s="60"/>
      <c r="H61" s="139">
        <v>82173</v>
      </c>
      <c r="I61" s="139">
        <v>100830</v>
      </c>
      <c r="J61" s="139">
        <v>53471</v>
      </c>
      <c r="K61" s="139">
        <v>110278</v>
      </c>
      <c r="L61" s="139">
        <v>72456</v>
      </c>
      <c r="M61" s="139">
        <v>33022</v>
      </c>
      <c r="N61" s="139">
        <v>40636</v>
      </c>
      <c r="O61" s="172">
        <v>63489</v>
      </c>
      <c r="P61" s="182">
        <f aca="true" t="shared" si="15" ref="P61:P92">SUM(C61:O61)</f>
        <v>2163481</v>
      </c>
    </row>
    <row r="62" spans="1:16" ht="30">
      <c r="A62" s="88" t="s">
        <v>431</v>
      </c>
      <c r="B62" s="16" t="s">
        <v>432</v>
      </c>
      <c r="C62" s="18">
        <v>33912</v>
      </c>
      <c r="D62" s="89"/>
      <c r="E62" s="60"/>
      <c r="F62" s="89"/>
      <c r="G62" s="60"/>
      <c r="H62" s="172"/>
      <c r="I62" s="17"/>
      <c r="J62" s="17"/>
      <c r="K62" s="18"/>
      <c r="L62" s="18"/>
      <c r="M62" s="18"/>
      <c r="N62" s="33"/>
      <c r="O62" s="172"/>
      <c r="P62" s="118">
        <f t="shared" si="15"/>
        <v>33912</v>
      </c>
    </row>
    <row r="63" spans="1:16" ht="15">
      <c r="A63" s="91" t="s">
        <v>57</v>
      </c>
      <c r="B63" s="32" t="s">
        <v>58</v>
      </c>
      <c r="C63" s="34">
        <f>SUM(C64:C64)</f>
        <v>374138</v>
      </c>
      <c r="D63" s="34">
        <f>SUM(D64:D64)</f>
        <v>0</v>
      </c>
      <c r="E63" s="33"/>
      <c r="F63" s="34"/>
      <c r="G63" s="33"/>
      <c r="H63" s="42">
        <f aca="true" t="shared" si="16" ref="H63:O63">SUM(H64:H64)</f>
        <v>1300</v>
      </c>
      <c r="I63" s="33">
        <f t="shared" si="16"/>
        <v>885</v>
      </c>
      <c r="J63" s="33">
        <f t="shared" si="16"/>
        <v>10695</v>
      </c>
      <c r="K63" s="34">
        <f t="shared" si="16"/>
        <v>8187</v>
      </c>
      <c r="L63" s="34">
        <f t="shared" si="16"/>
        <v>0</v>
      </c>
      <c r="M63" s="34">
        <f t="shared" si="16"/>
        <v>1300</v>
      </c>
      <c r="N63" s="34">
        <f t="shared" si="16"/>
        <v>3535</v>
      </c>
      <c r="O63" s="34">
        <f t="shared" si="16"/>
        <v>6190</v>
      </c>
      <c r="P63" s="23">
        <f t="shared" si="15"/>
        <v>406230</v>
      </c>
    </row>
    <row r="64" spans="1:16" ht="29.25">
      <c r="A64" s="90" t="s">
        <v>59</v>
      </c>
      <c r="B64" s="21" t="s">
        <v>60</v>
      </c>
      <c r="C64" s="25">
        <v>374138</v>
      </c>
      <c r="D64" s="22"/>
      <c r="E64" s="22"/>
      <c r="F64" s="25"/>
      <c r="G64" s="22"/>
      <c r="H64" s="92">
        <v>1300</v>
      </c>
      <c r="I64" s="28">
        <v>885</v>
      </c>
      <c r="J64" s="28">
        <v>10695</v>
      </c>
      <c r="K64" s="29">
        <v>8187</v>
      </c>
      <c r="L64" s="29"/>
      <c r="M64" s="29">
        <v>1300</v>
      </c>
      <c r="N64" s="29">
        <v>3535</v>
      </c>
      <c r="O64" s="29">
        <v>6190</v>
      </c>
      <c r="P64" s="23">
        <f t="shared" si="15"/>
        <v>406230</v>
      </c>
    </row>
    <row r="65" spans="1:16" ht="30">
      <c r="A65" s="91" t="s">
        <v>245</v>
      </c>
      <c r="B65" s="93" t="s">
        <v>246</v>
      </c>
      <c r="C65" s="25">
        <v>576</v>
      </c>
      <c r="D65" s="25"/>
      <c r="E65" s="22"/>
      <c r="F65" s="25"/>
      <c r="G65" s="22"/>
      <c r="H65" s="209"/>
      <c r="I65" s="31"/>
      <c r="J65" s="31"/>
      <c r="K65" s="30"/>
      <c r="L65" s="30"/>
      <c r="M65" s="30"/>
      <c r="N65" s="30"/>
      <c r="O65" s="30"/>
      <c r="P65" s="23">
        <f t="shared" si="15"/>
        <v>576</v>
      </c>
    </row>
    <row r="66" spans="1:16" ht="45">
      <c r="A66" s="91" t="s">
        <v>61</v>
      </c>
      <c r="B66" s="93" t="s">
        <v>62</v>
      </c>
      <c r="C66" s="34">
        <f>SUM(C67:C68)</f>
        <v>325000</v>
      </c>
      <c r="D66" s="34">
        <f>SUM(D67:D68)</f>
        <v>0</v>
      </c>
      <c r="E66" s="33"/>
      <c r="F66" s="34"/>
      <c r="G66" s="33"/>
      <c r="H66" s="42">
        <f aca="true" t="shared" si="17" ref="H66:O66">SUM(H67:H68)</f>
        <v>0</v>
      </c>
      <c r="I66" s="33">
        <f t="shared" si="17"/>
        <v>0</v>
      </c>
      <c r="J66" s="33">
        <f t="shared" si="17"/>
        <v>0</v>
      </c>
      <c r="K66" s="34">
        <f t="shared" si="17"/>
        <v>0</v>
      </c>
      <c r="L66" s="34">
        <f t="shared" si="17"/>
        <v>0</v>
      </c>
      <c r="M66" s="34">
        <f t="shared" si="17"/>
        <v>0</v>
      </c>
      <c r="N66" s="34">
        <f t="shared" si="17"/>
        <v>0</v>
      </c>
      <c r="O66" s="34">
        <f t="shared" si="17"/>
        <v>0</v>
      </c>
      <c r="P66" s="23">
        <f t="shared" si="15"/>
        <v>325000</v>
      </c>
    </row>
    <row r="67" spans="1:16" ht="29.25">
      <c r="A67" s="94" t="s">
        <v>247</v>
      </c>
      <c r="B67" s="21" t="s">
        <v>63</v>
      </c>
      <c r="C67" s="25"/>
      <c r="D67" s="22"/>
      <c r="E67" s="22"/>
      <c r="F67" s="25"/>
      <c r="G67" s="22"/>
      <c r="H67" s="199"/>
      <c r="I67" s="31"/>
      <c r="J67" s="31"/>
      <c r="K67" s="29"/>
      <c r="L67" s="29"/>
      <c r="M67" s="29"/>
      <c r="N67" s="29"/>
      <c r="O67" s="30"/>
      <c r="P67" s="23">
        <f t="shared" si="15"/>
        <v>0</v>
      </c>
    </row>
    <row r="68" spans="1:16" ht="29.25">
      <c r="A68" s="94" t="s">
        <v>248</v>
      </c>
      <c r="B68" s="21" t="s">
        <v>64</v>
      </c>
      <c r="C68" s="25">
        <v>325000</v>
      </c>
      <c r="D68" s="22"/>
      <c r="E68" s="22"/>
      <c r="F68" s="25"/>
      <c r="G68" s="22"/>
      <c r="H68" s="27"/>
      <c r="I68" s="28"/>
      <c r="J68" s="28"/>
      <c r="K68" s="29"/>
      <c r="L68" s="29"/>
      <c r="M68" s="29"/>
      <c r="N68" s="29"/>
      <c r="O68" s="30"/>
      <c r="P68" s="23">
        <f t="shared" si="15"/>
        <v>325000</v>
      </c>
    </row>
    <row r="69" spans="1:16" s="80" customFormat="1" ht="15.75" thickBot="1">
      <c r="A69" s="95" t="s">
        <v>65</v>
      </c>
      <c r="B69" s="96" t="s">
        <v>249</v>
      </c>
      <c r="C69" s="97"/>
      <c r="D69" s="98"/>
      <c r="E69" s="98"/>
      <c r="F69" s="97"/>
      <c r="G69" s="98"/>
      <c r="H69" s="210"/>
      <c r="I69" s="99"/>
      <c r="J69" s="271"/>
      <c r="K69" s="100"/>
      <c r="L69" s="100"/>
      <c r="M69" s="100"/>
      <c r="N69" s="100"/>
      <c r="O69" s="101"/>
      <c r="P69" s="134">
        <f t="shared" si="15"/>
        <v>0</v>
      </c>
    </row>
    <row r="70" spans="1:16" ht="15.75" thickBot="1">
      <c r="A70" s="102" t="s">
        <v>66</v>
      </c>
      <c r="B70" s="84" t="s">
        <v>67</v>
      </c>
      <c r="C70" s="85">
        <f>SUM(C71:C73)</f>
        <v>1540447</v>
      </c>
      <c r="D70" s="85">
        <f>SUM(D71:D73)</f>
        <v>4110</v>
      </c>
      <c r="E70" s="85">
        <f>SUM(E71:E73)</f>
        <v>0</v>
      </c>
      <c r="F70" s="85">
        <f>SUM(F71:F73)</f>
        <v>0</v>
      </c>
      <c r="G70" s="86"/>
      <c r="H70" s="193">
        <f aca="true" t="shared" si="18" ref="H70:O70">SUM(H71:H73)</f>
        <v>3195</v>
      </c>
      <c r="I70" s="86">
        <f t="shared" si="18"/>
        <v>0</v>
      </c>
      <c r="J70" s="86">
        <f t="shared" si="18"/>
        <v>0</v>
      </c>
      <c r="K70" s="85">
        <f t="shared" si="18"/>
        <v>2928</v>
      </c>
      <c r="L70" s="85">
        <f t="shared" si="18"/>
        <v>0</v>
      </c>
      <c r="M70" s="85">
        <f t="shared" si="18"/>
        <v>0</v>
      </c>
      <c r="N70" s="85">
        <f t="shared" si="18"/>
        <v>0</v>
      </c>
      <c r="O70" s="85">
        <f t="shared" si="18"/>
        <v>6108</v>
      </c>
      <c r="P70" s="87">
        <f t="shared" si="15"/>
        <v>1556788</v>
      </c>
    </row>
    <row r="71" spans="1:16" ht="15.75" thickBot="1">
      <c r="A71" s="88" t="s">
        <v>250</v>
      </c>
      <c r="B71" s="16" t="s">
        <v>19</v>
      </c>
      <c r="C71" s="103">
        <v>412932</v>
      </c>
      <c r="D71" s="60"/>
      <c r="E71" s="60"/>
      <c r="F71" s="89"/>
      <c r="G71" s="60"/>
      <c r="H71" s="198"/>
      <c r="I71" s="62"/>
      <c r="J71" s="62"/>
      <c r="K71" s="63"/>
      <c r="L71" s="63"/>
      <c r="M71" s="63"/>
      <c r="N71" s="63"/>
      <c r="O71" s="64"/>
      <c r="P71" s="182">
        <f>SUM(C71:O71)</f>
        <v>412932</v>
      </c>
    </row>
    <row r="72" spans="1:16" ht="30">
      <c r="A72" s="252" t="s">
        <v>385</v>
      </c>
      <c r="B72" s="253" t="s">
        <v>425</v>
      </c>
      <c r="C72" s="254">
        <f>1115250+8000</f>
        <v>1123250</v>
      </c>
      <c r="D72" s="191">
        <v>4110</v>
      </c>
      <c r="E72" s="191"/>
      <c r="F72" s="116"/>
      <c r="G72" s="191"/>
      <c r="H72" s="255"/>
      <c r="I72" s="141"/>
      <c r="J72" s="141"/>
      <c r="K72" s="256"/>
      <c r="L72" s="256"/>
      <c r="M72" s="256"/>
      <c r="N72" s="256"/>
      <c r="O72" s="117"/>
      <c r="P72" s="182">
        <f>SUM(C72:O72)</f>
        <v>1127360</v>
      </c>
    </row>
    <row r="73" spans="1:16" s="80" customFormat="1" ht="45.75" thickBot="1">
      <c r="A73" s="105" t="s">
        <v>68</v>
      </c>
      <c r="B73" s="96" t="s">
        <v>251</v>
      </c>
      <c r="C73" s="98">
        <v>4265</v>
      </c>
      <c r="D73" s="98"/>
      <c r="E73" s="98"/>
      <c r="F73" s="98"/>
      <c r="G73" s="98"/>
      <c r="H73" s="211">
        <v>3195</v>
      </c>
      <c r="I73" s="99"/>
      <c r="J73" s="99"/>
      <c r="K73" s="100">
        <v>2928</v>
      </c>
      <c r="L73" s="100"/>
      <c r="M73" s="100"/>
      <c r="N73" s="100"/>
      <c r="O73" s="101">
        <v>6108</v>
      </c>
      <c r="P73" s="212">
        <f t="shared" si="15"/>
        <v>16496</v>
      </c>
    </row>
    <row r="74" spans="1:16" ht="15.75" thickBot="1">
      <c r="A74" s="102" t="s">
        <v>1</v>
      </c>
      <c r="B74" s="84" t="s">
        <v>69</v>
      </c>
      <c r="C74" s="85">
        <f aca="true" t="shared" si="19" ref="C74:O74">SUM(C75,C84:C87,C93,C95,C97)</f>
        <v>3053018</v>
      </c>
      <c r="D74" s="85">
        <f t="shared" si="19"/>
        <v>179064</v>
      </c>
      <c r="E74" s="85">
        <f t="shared" si="19"/>
        <v>0</v>
      </c>
      <c r="F74" s="85">
        <f t="shared" si="19"/>
        <v>0</v>
      </c>
      <c r="G74" s="85">
        <f t="shared" si="19"/>
        <v>253792</v>
      </c>
      <c r="H74" s="85">
        <f t="shared" si="19"/>
        <v>33934</v>
      </c>
      <c r="I74" s="85">
        <f t="shared" si="19"/>
        <v>13405</v>
      </c>
      <c r="J74" s="85">
        <f t="shared" si="19"/>
        <v>30895</v>
      </c>
      <c r="K74" s="85">
        <f t="shared" si="19"/>
        <v>84043</v>
      </c>
      <c r="L74" s="85">
        <f t="shared" si="19"/>
        <v>0</v>
      </c>
      <c r="M74" s="85">
        <f t="shared" si="19"/>
        <v>9996</v>
      </c>
      <c r="N74" s="85">
        <f t="shared" si="19"/>
        <v>1830</v>
      </c>
      <c r="O74" s="85">
        <f t="shared" si="19"/>
        <v>0</v>
      </c>
      <c r="P74" s="87">
        <f t="shared" si="15"/>
        <v>3659977</v>
      </c>
    </row>
    <row r="75" spans="1:16" ht="15">
      <c r="A75" s="88" t="s">
        <v>70</v>
      </c>
      <c r="B75" s="107" t="s">
        <v>71</v>
      </c>
      <c r="C75" s="18">
        <f aca="true" t="shared" si="20" ref="C75:O75">SUM(C76:C83)</f>
        <v>54090</v>
      </c>
      <c r="D75" s="18">
        <f t="shared" si="20"/>
        <v>0</v>
      </c>
      <c r="E75" s="18">
        <f t="shared" si="20"/>
        <v>0</v>
      </c>
      <c r="F75" s="18">
        <f t="shared" si="20"/>
        <v>0</v>
      </c>
      <c r="G75" s="18">
        <f t="shared" si="20"/>
        <v>0</v>
      </c>
      <c r="H75" s="18">
        <f t="shared" si="20"/>
        <v>0</v>
      </c>
      <c r="I75" s="18">
        <f t="shared" si="20"/>
        <v>0</v>
      </c>
      <c r="J75" s="18">
        <f t="shared" si="20"/>
        <v>0</v>
      </c>
      <c r="K75" s="18">
        <f t="shared" si="20"/>
        <v>0</v>
      </c>
      <c r="L75" s="18">
        <f t="shared" si="20"/>
        <v>0</v>
      </c>
      <c r="M75" s="18">
        <f t="shared" si="20"/>
        <v>0</v>
      </c>
      <c r="N75" s="18">
        <f t="shared" si="20"/>
        <v>0</v>
      </c>
      <c r="O75" s="18">
        <f t="shared" si="20"/>
        <v>0</v>
      </c>
      <c r="P75" s="182">
        <f t="shared" si="15"/>
        <v>54090</v>
      </c>
    </row>
    <row r="76" spans="1:16" ht="14.25">
      <c r="A76" s="119" t="s">
        <v>252</v>
      </c>
      <c r="B76" s="63" t="s">
        <v>253</v>
      </c>
      <c r="C76" s="89">
        <v>13450</v>
      </c>
      <c r="D76" s="60"/>
      <c r="E76" s="60"/>
      <c r="F76" s="89"/>
      <c r="G76" s="60"/>
      <c r="H76" s="205"/>
      <c r="I76" s="62"/>
      <c r="J76" s="61"/>
      <c r="K76" s="63"/>
      <c r="L76" s="63"/>
      <c r="M76" s="63"/>
      <c r="N76" s="63"/>
      <c r="O76" s="64"/>
      <c r="P76" s="213">
        <f t="shared" si="15"/>
        <v>13450</v>
      </c>
    </row>
    <row r="77" spans="1:16" ht="14.25">
      <c r="A77" s="119" t="s">
        <v>254</v>
      </c>
      <c r="B77" s="114" t="s">
        <v>230</v>
      </c>
      <c r="C77" s="89"/>
      <c r="D77" s="60"/>
      <c r="E77" s="60"/>
      <c r="F77" s="89"/>
      <c r="G77" s="60"/>
      <c r="H77" s="205"/>
      <c r="I77" s="62"/>
      <c r="J77" s="62"/>
      <c r="K77" s="63"/>
      <c r="L77" s="63"/>
      <c r="M77" s="63"/>
      <c r="N77" s="63"/>
      <c r="O77" s="64"/>
      <c r="P77" s="214">
        <f t="shared" si="15"/>
        <v>0</v>
      </c>
    </row>
    <row r="78" spans="1:16" ht="14.25">
      <c r="A78" s="119" t="s">
        <v>255</v>
      </c>
      <c r="B78" s="114" t="s">
        <v>175</v>
      </c>
      <c r="C78" s="89"/>
      <c r="D78" s="60"/>
      <c r="E78" s="60"/>
      <c r="F78" s="89"/>
      <c r="G78" s="60"/>
      <c r="H78" s="205"/>
      <c r="I78" s="62"/>
      <c r="J78" s="62"/>
      <c r="K78" s="63"/>
      <c r="L78" s="63"/>
      <c r="M78" s="63"/>
      <c r="N78" s="63"/>
      <c r="O78" s="64"/>
      <c r="P78" s="214">
        <f t="shared" si="15"/>
        <v>0</v>
      </c>
    </row>
    <row r="79" spans="1:16" ht="14.25">
      <c r="A79" s="119" t="s">
        <v>256</v>
      </c>
      <c r="B79" s="114" t="s">
        <v>257</v>
      </c>
      <c r="C79" s="89">
        <v>11034</v>
      </c>
      <c r="D79" s="60"/>
      <c r="E79" s="60"/>
      <c r="F79" s="89"/>
      <c r="G79" s="60"/>
      <c r="H79" s="205"/>
      <c r="I79" s="62"/>
      <c r="J79" s="62"/>
      <c r="K79" s="63"/>
      <c r="L79" s="63"/>
      <c r="M79" s="63"/>
      <c r="N79" s="63"/>
      <c r="O79" s="64"/>
      <c r="P79" s="214">
        <f t="shared" si="15"/>
        <v>11034</v>
      </c>
    </row>
    <row r="80" spans="1:16" ht="14.25">
      <c r="A80" s="119" t="s">
        <v>258</v>
      </c>
      <c r="B80" s="114" t="s">
        <v>234</v>
      </c>
      <c r="C80" s="89"/>
      <c r="D80" s="60"/>
      <c r="E80" s="60"/>
      <c r="F80" s="89"/>
      <c r="G80" s="60"/>
      <c r="H80" s="205"/>
      <c r="I80" s="62"/>
      <c r="J80" s="62"/>
      <c r="K80" s="63"/>
      <c r="L80" s="63"/>
      <c r="M80" s="63"/>
      <c r="N80" s="63"/>
      <c r="O80" s="64"/>
      <c r="P80" s="214">
        <f t="shared" si="15"/>
        <v>0</v>
      </c>
    </row>
    <row r="81" spans="1:16" ht="28.5">
      <c r="A81" s="119" t="s">
        <v>259</v>
      </c>
      <c r="B81" s="109" t="s">
        <v>260</v>
      </c>
      <c r="C81" s="89">
        <v>27340</v>
      </c>
      <c r="D81" s="60"/>
      <c r="E81" s="60"/>
      <c r="F81" s="89"/>
      <c r="G81" s="60"/>
      <c r="H81" s="205"/>
      <c r="I81" s="62"/>
      <c r="J81" s="62"/>
      <c r="K81" s="63"/>
      <c r="L81" s="63"/>
      <c r="M81" s="63"/>
      <c r="N81" s="63"/>
      <c r="O81" s="64"/>
      <c r="P81" s="214">
        <f t="shared" si="15"/>
        <v>27340</v>
      </c>
    </row>
    <row r="82" spans="1:16" ht="14.25">
      <c r="A82" s="119" t="s">
        <v>261</v>
      </c>
      <c r="B82" s="109" t="s">
        <v>262</v>
      </c>
      <c r="C82" s="89">
        <v>1266</v>
      </c>
      <c r="D82" s="60"/>
      <c r="E82" s="60"/>
      <c r="F82" s="89"/>
      <c r="G82" s="60"/>
      <c r="H82" s="205"/>
      <c r="I82" s="62"/>
      <c r="J82" s="62"/>
      <c r="K82" s="63"/>
      <c r="L82" s="63"/>
      <c r="M82" s="63"/>
      <c r="N82" s="63"/>
      <c r="O82" s="64"/>
      <c r="P82" s="214">
        <f t="shared" si="15"/>
        <v>1266</v>
      </c>
    </row>
    <row r="83" spans="1:16" ht="14.25">
      <c r="A83" s="119" t="s">
        <v>263</v>
      </c>
      <c r="B83" s="109" t="s">
        <v>264</v>
      </c>
      <c r="C83" s="25">
        <v>1000</v>
      </c>
      <c r="D83" s="22"/>
      <c r="E83" s="22"/>
      <c r="F83" s="25"/>
      <c r="G83" s="22"/>
      <c r="H83" s="92"/>
      <c r="I83" s="31"/>
      <c r="J83" s="31"/>
      <c r="K83" s="29"/>
      <c r="L83" s="29"/>
      <c r="M83" s="29"/>
      <c r="N83" s="29"/>
      <c r="O83" s="30"/>
      <c r="P83" s="214">
        <f t="shared" si="15"/>
        <v>1000</v>
      </c>
    </row>
    <row r="84" spans="1:16" ht="15">
      <c r="A84" s="91" t="s">
        <v>72</v>
      </c>
      <c r="B84" s="32" t="s">
        <v>265</v>
      </c>
      <c r="C84" s="34"/>
      <c r="D84" s="33"/>
      <c r="E84" s="33"/>
      <c r="F84" s="34"/>
      <c r="G84" s="33"/>
      <c r="H84" s="199"/>
      <c r="I84" s="31"/>
      <c r="J84" s="31"/>
      <c r="K84" s="29">
        <v>1230</v>
      </c>
      <c r="L84" s="29"/>
      <c r="M84" s="29">
        <v>2039</v>
      </c>
      <c r="N84" s="29">
        <v>1830</v>
      </c>
      <c r="O84" s="30"/>
      <c r="P84" s="23">
        <f t="shared" si="15"/>
        <v>5099</v>
      </c>
    </row>
    <row r="85" spans="1:16" ht="15">
      <c r="A85" s="88" t="s">
        <v>73</v>
      </c>
      <c r="B85" s="16" t="s">
        <v>74</v>
      </c>
      <c r="C85" s="18"/>
      <c r="D85" s="22"/>
      <c r="E85" s="22"/>
      <c r="F85" s="25"/>
      <c r="G85" s="22"/>
      <c r="H85" s="199"/>
      <c r="I85" s="31"/>
      <c r="J85" s="31"/>
      <c r="K85" s="29">
        <v>3674</v>
      </c>
      <c r="L85" s="29"/>
      <c r="M85" s="29"/>
      <c r="N85" s="29"/>
      <c r="O85" s="30"/>
      <c r="P85" s="23">
        <f t="shared" si="15"/>
        <v>3674</v>
      </c>
    </row>
    <row r="86" spans="1:16" ht="15">
      <c r="A86" s="88" t="s">
        <v>176</v>
      </c>
      <c r="B86" s="16" t="s">
        <v>177</v>
      </c>
      <c r="C86" s="18">
        <v>185260</v>
      </c>
      <c r="D86" s="25"/>
      <c r="E86" s="22"/>
      <c r="F86" s="25"/>
      <c r="G86" s="22"/>
      <c r="H86" s="199"/>
      <c r="I86" s="31"/>
      <c r="J86" s="31"/>
      <c r="K86" s="29">
        <v>32227</v>
      </c>
      <c r="L86" s="30"/>
      <c r="M86" s="30"/>
      <c r="N86" s="30"/>
      <c r="O86" s="30"/>
      <c r="P86" s="23">
        <f t="shared" si="15"/>
        <v>217487</v>
      </c>
    </row>
    <row r="87" spans="1:16" ht="15">
      <c r="A87" s="91" t="s">
        <v>75</v>
      </c>
      <c r="B87" s="32" t="s">
        <v>76</v>
      </c>
      <c r="C87" s="34">
        <f aca="true" t="shared" si="21" ref="C87:O87">SUM(C88:C92)</f>
        <v>2813668</v>
      </c>
      <c r="D87" s="34">
        <f t="shared" si="21"/>
        <v>179064</v>
      </c>
      <c r="E87" s="34">
        <f t="shared" si="21"/>
        <v>0</v>
      </c>
      <c r="F87" s="34">
        <f t="shared" si="21"/>
        <v>0</v>
      </c>
      <c r="G87" s="34">
        <f t="shared" si="21"/>
        <v>0</v>
      </c>
      <c r="H87" s="34">
        <f t="shared" si="21"/>
        <v>33934</v>
      </c>
      <c r="I87" s="34">
        <f t="shared" si="21"/>
        <v>13405</v>
      </c>
      <c r="J87" s="34">
        <f t="shared" si="21"/>
        <v>30895</v>
      </c>
      <c r="K87" s="34">
        <f t="shared" si="21"/>
        <v>46912</v>
      </c>
      <c r="L87" s="34">
        <f t="shared" si="21"/>
        <v>0</v>
      </c>
      <c r="M87" s="34">
        <f t="shared" si="21"/>
        <v>7957</v>
      </c>
      <c r="N87" s="34">
        <f t="shared" si="21"/>
        <v>0</v>
      </c>
      <c r="O87" s="34">
        <f t="shared" si="21"/>
        <v>0</v>
      </c>
      <c r="P87" s="23">
        <f t="shared" si="15"/>
        <v>3125835</v>
      </c>
    </row>
    <row r="88" spans="1:16" ht="15">
      <c r="A88" s="90" t="s">
        <v>266</v>
      </c>
      <c r="B88" s="21" t="s">
        <v>77</v>
      </c>
      <c r="C88" s="25">
        <f>652300+10425</f>
        <v>662725</v>
      </c>
      <c r="D88" s="22"/>
      <c r="E88" s="22"/>
      <c r="F88" s="25"/>
      <c r="G88" s="22"/>
      <c r="H88" s="27"/>
      <c r="I88" s="31"/>
      <c r="J88" s="28">
        <v>10624</v>
      </c>
      <c r="K88" s="29"/>
      <c r="L88" s="29"/>
      <c r="M88" s="29"/>
      <c r="N88" s="29"/>
      <c r="O88" s="30"/>
      <c r="P88" s="23">
        <f t="shared" si="15"/>
        <v>673349</v>
      </c>
    </row>
    <row r="89" spans="1:16" ht="29.25">
      <c r="A89" s="90" t="s">
        <v>267</v>
      </c>
      <c r="B89" s="109" t="s">
        <v>404</v>
      </c>
      <c r="C89" s="25">
        <v>960000</v>
      </c>
      <c r="D89" s="22"/>
      <c r="E89" s="22"/>
      <c r="F89" s="25"/>
      <c r="G89" s="22"/>
      <c r="H89" s="199"/>
      <c r="I89" s="31"/>
      <c r="J89" s="28"/>
      <c r="K89" s="29"/>
      <c r="L89" s="29"/>
      <c r="M89" s="29"/>
      <c r="N89" s="29"/>
      <c r="O89" s="30"/>
      <c r="P89" s="23">
        <f t="shared" si="15"/>
        <v>960000</v>
      </c>
    </row>
    <row r="90" spans="1:16" ht="29.25">
      <c r="A90" s="90" t="s">
        <v>268</v>
      </c>
      <c r="B90" s="109" t="s">
        <v>269</v>
      </c>
      <c r="C90" s="25">
        <v>1140000</v>
      </c>
      <c r="D90" s="22"/>
      <c r="E90" s="22"/>
      <c r="F90" s="25"/>
      <c r="G90" s="22"/>
      <c r="H90" s="199"/>
      <c r="I90" s="31"/>
      <c r="J90" s="31"/>
      <c r="K90" s="29"/>
      <c r="L90" s="29"/>
      <c r="M90" s="29"/>
      <c r="N90" s="29"/>
      <c r="O90" s="30"/>
      <c r="P90" s="23">
        <f t="shared" si="15"/>
        <v>1140000</v>
      </c>
    </row>
    <row r="91" spans="1:16" ht="15">
      <c r="A91" s="90" t="s">
        <v>270</v>
      </c>
      <c r="B91" s="109" t="s">
        <v>271</v>
      </c>
      <c r="C91" s="25"/>
      <c r="D91" s="22">
        <v>179064</v>
      </c>
      <c r="E91" s="22"/>
      <c r="F91" s="25"/>
      <c r="G91" s="22"/>
      <c r="H91" s="209">
        <v>33934</v>
      </c>
      <c r="I91" s="28">
        <f>13355+50</f>
        <v>13405</v>
      </c>
      <c r="J91" s="28">
        <v>20271</v>
      </c>
      <c r="K91" s="30">
        <v>46912</v>
      </c>
      <c r="L91" s="30"/>
      <c r="M91" s="30">
        <v>7957</v>
      </c>
      <c r="N91" s="30"/>
      <c r="O91" s="30"/>
      <c r="P91" s="23">
        <f t="shared" si="15"/>
        <v>301543</v>
      </c>
    </row>
    <row r="92" spans="1:16" ht="29.25">
      <c r="A92" s="90" t="s">
        <v>405</v>
      </c>
      <c r="B92" s="109" t="s">
        <v>406</v>
      </c>
      <c r="C92" s="25">
        <v>50943</v>
      </c>
      <c r="D92" s="22"/>
      <c r="E92" s="22"/>
      <c r="F92" s="25"/>
      <c r="G92" s="22"/>
      <c r="H92" s="209"/>
      <c r="I92" s="31"/>
      <c r="J92" s="31"/>
      <c r="K92" s="30"/>
      <c r="L92" s="30"/>
      <c r="M92" s="30"/>
      <c r="N92" s="30"/>
      <c r="O92" s="30"/>
      <c r="P92" s="23">
        <f t="shared" si="15"/>
        <v>50943</v>
      </c>
    </row>
    <row r="93" spans="1:16" ht="15">
      <c r="A93" s="91" t="s">
        <v>78</v>
      </c>
      <c r="B93" s="93" t="s">
        <v>79</v>
      </c>
      <c r="C93" s="34">
        <f>SUM(C94:C94)</f>
        <v>0</v>
      </c>
      <c r="D93" s="22"/>
      <c r="E93" s="22"/>
      <c r="F93" s="25"/>
      <c r="G93" s="22"/>
      <c r="H93" s="42">
        <f aca="true" t="shared" si="22" ref="H93:O93">SUM(H94:H94)</f>
        <v>0</v>
      </c>
      <c r="I93" s="33">
        <f t="shared" si="22"/>
        <v>0</v>
      </c>
      <c r="J93" s="33">
        <f t="shared" si="22"/>
        <v>0</v>
      </c>
      <c r="K93" s="34">
        <f t="shared" si="22"/>
        <v>0</v>
      </c>
      <c r="L93" s="34">
        <f t="shared" si="22"/>
        <v>0</v>
      </c>
      <c r="M93" s="34">
        <f t="shared" si="22"/>
        <v>0</v>
      </c>
      <c r="N93" s="34">
        <f t="shared" si="22"/>
        <v>0</v>
      </c>
      <c r="O93" s="34">
        <f t="shared" si="22"/>
        <v>0</v>
      </c>
      <c r="P93" s="23">
        <f aca="true" t="shared" si="23" ref="P93:P123">SUM(C93:O93)</f>
        <v>0</v>
      </c>
    </row>
    <row r="94" spans="1:16" ht="15">
      <c r="A94" s="90" t="s">
        <v>272</v>
      </c>
      <c r="B94" s="21"/>
      <c r="C94" s="25"/>
      <c r="D94" s="22"/>
      <c r="E94" s="22"/>
      <c r="F94" s="25"/>
      <c r="G94" s="22"/>
      <c r="H94" s="92"/>
      <c r="I94" s="31"/>
      <c r="J94" s="31"/>
      <c r="K94" s="29"/>
      <c r="L94" s="29"/>
      <c r="M94" s="29"/>
      <c r="N94" s="29"/>
      <c r="O94" s="30"/>
      <c r="P94" s="23">
        <f t="shared" si="23"/>
        <v>0</v>
      </c>
    </row>
    <row r="95" spans="1:16" ht="15">
      <c r="A95" s="91" t="s">
        <v>80</v>
      </c>
      <c r="B95" s="93" t="s">
        <v>81</v>
      </c>
      <c r="C95" s="34">
        <f>SUM(C96:C96)</f>
        <v>0</v>
      </c>
      <c r="D95" s="34">
        <f aca="true" t="shared" si="24" ref="D95:O95">SUM(D96:D96)</f>
        <v>0</v>
      </c>
      <c r="E95" s="34">
        <f t="shared" si="24"/>
        <v>0</v>
      </c>
      <c r="F95" s="34">
        <f t="shared" si="24"/>
        <v>0</v>
      </c>
      <c r="G95" s="33">
        <f t="shared" si="24"/>
        <v>253792</v>
      </c>
      <c r="H95" s="42">
        <f t="shared" si="24"/>
        <v>0</v>
      </c>
      <c r="I95" s="34">
        <f t="shared" si="24"/>
        <v>0</v>
      </c>
      <c r="J95" s="34">
        <f t="shared" si="24"/>
        <v>0</v>
      </c>
      <c r="K95" s="34">
        <f t="shared" si="24"/>
        <v>0</v>
      </c>
      <c r="L95" s="34">
        <f t="shared" si="24"/>
        <v>0</v>
      </c>
      <c r="M95" s="34">
        <f t="shared" si="24"/>
        <v>0</v>
      </c>
      <c r="N95" s="34">
        <f t="shared" si="24"/>
        <v>0</v>
      </c>
      <c r="O95" s="34">
        <f t="shared" si="24"/>
        <v>0</v>
      </c>
      <c r="P95" s="23">
        <f t="shared" si="23"/>
        <v>253792</v>
      </c>
    </row>
    <row r="96" spans="1:16" ht="28.5">
      <c r="A96" s="90" t="s">
        <v>273</v>
      </c>
      <c r="B96" s="39" t="s">
        <v>231</v>
      </c>
      <c r="C96" s="25"/>
      <c r="D96" s="22"/>
      <c r="E96" s="22"/>
      <c r="F96" s="25"/>
      <c r="G96" s="22">
        <v>253792</v>
      </c>
      <c r="H96" s="41"/>
      <c r="I96" s="22"/>
      <c r="J96" s="22"/>
      <c r="K96" s="25"/>
      <c r="L96" s="25"/>
      <c r="M96" s="25"/>
      <c r="N96" s="25"/>
      <c r="O96" s="25"/>
      <c r="P96" s="23">
        <f t="shared" si="23"/>
        <v>253792</v>
      </c>
    </row>
    <row r="97" spans="1:16" ht="15.75" thickBot="1">
      <c r="A97" s="242"/>
      <c r="B97" s="243"/>
      <c r="C97" s="46"/>
      <c r="D97" s="45"/>
      <c r="E97" s="45"/>
      <c r="F97" s="46"/>
      <c r="G97" s="45"/>
      <c r="H97" s="215"/>
      <c r="I97" s="47"/>
      <c r="J97" s="106"/>
      <c r="K97" s="48"/>
      <c r="L97" s="48"/>
      <c r="M97" s="100"/>
      <c r="N97" s="48"/>
      <c r="O97" s="49"/>
      <c r="P97" s="23">
        <f t="shared" si="23"/>
        <v>0</v>
      </c>
    </row>
    <row r="98" spans="1:16" ht="15.75" thickBot="1">
      <c r="A98" s="102" t="s">
        <v>17</v>
      </c>
      <c r="B98" s="111" t="s">
        <v>82</v>
      </c>
      <c r="C98" s="85">
        <f aca="true" t="shared" si="25" ref="C98:O98">C99+C105+C109+C112</f>
        <v>773560</v>
      </c>
      <c r="D98" s="85">
        <f t="shared" si="25"/>
        <v>2357026</v>
      </c>
      <c r="E98" s="85">
        <f t="shared" si="25"/>
        <v>0</v>
      </c>
      <c r="F98" s="85">
        <f t="shared" si="25"/>
        <v>0</v>
      </c>
      <c r="G98" s="85">
        <f t="shared" si="25"/>
        <v>0</v>
      </c>
      <c r="H98" s="85">
        <f t="shared" si="25"/>
        <v>66701</v>
      </c>
      <c r="I98" s="85">
        <f t="shared" si="25"/>
        <v>0</v>
      </c>
      <c r="J98" s="85">
        <f t="shared" si="25"/>
        <v>7979</v>
      </c>
      <c r="K98" s="85">
        <f t="shared" si="25"/>
        <v>29222</v>
      </c>
      <c r="L98" s="85">
        <f t="shared" si="25"/>
        <v>0</v>
      </c>
      <c r="M98" s="85">
        <f t="shared" si="25"/>
        <v>16617</v>
      </c>
      <c r="N98" s="85">
        <f t="shared" si="25"/>
        <v>0</v>
      </c>
      <c r="O98" s="85">
        <f t="shared" si="25"/>
        <v>0</v>
      </c>
      <c r="P98" s="87">
        <f t="shared" si="23"/>
        <v>3251105</v>
      </c>
    </row>
    <row r="99" spans="1:16" ht="15">
      <c r="A99" s="88" t="s">
        <v>83</v>
      </c>
      <c r="B99" s="108" t="s">
        <v>84</v>
      </c>
      <c r="C99" s="18">
        <f>SUM(C100:C104)</f>
        <v>732962</v>
      </c>
      <c r="D99" s="18">
        <f>SUM(D100:D104)</f>
        <v>304867</v>
      </c>
      <c r="E99" s="17"/>
      <c r="F99" s="18"/>
      <c r="G99" s="17"/>
      <c r="H99" s="172">
        <f aca="true" t="shared" si="26" ref="H99:O99">SUM(H100:H104)</f>
        <v>13895</v>
      </c>
      <c r="I99" s="172">
        <f t="shared" si="26"/>
        <v>0</v>
      </c>
      <c r="J99" s="172">
        <f t="shared" si="26"/>
        <v>7979</v>
      </c>
      <c r="K99" s="172">
        <f t="shared" si="26"/>
        <v>16583</v>
      </c>
      <c r="L99" s="172">
        <f t="shared" si="26"/>
        <v>0</v>
      </c>
      <c r="M99" s="172">
        <f t="shared" si="26"/>
        <v>3800</v>
      </c>
      <c r="N99" s="244">
        <f t="shared" si="26"/>
        <v>0</v>
      </c>
      <c r="O99" s="172">
        <f t="shared" si="26"/>
        <v>0</v>
      </c>
      <c r="P99" s="164">
        <f t="shared" si="23"/>
        <v>1080086</v>
      </c>
    </row>
    <row r="100" spans="1:16" ht="29.25">
      <c r="A100" s="90" t="s">
        <v>274</v>
      </c>
      <c r="B100" s="21" t="s">
        <v>178</v>
      </c>
      <c r="C100" s="25">
        <f>56419+10000</f>
        <v>66419</v>
      </c>
      <c r="D100" s="22">
        <v>304867</v>
      </c>
      <c r="E100" s="22"/>
      <c r="F100" s="25"/>
      <c r="G100" s="22"/>
      <c r="H100" s="27">
        <v>13895</v>
      </c>
      <c r="I100" s="31"/>
      <c r="J100" s="28">
        <v>7979</v>
      </c>
      <c r="K100" s="29">
        <v>16583</v>
      </c>
      <c r="L100" s="29"/>
      <c r="M100" s="29">
        <v>3800</v>
      </c>
      <c r="N100" s="29"/>
      <c r="O100" s="30"/>
      <c r="P100" s="23">
        <f t="shared" si="23"/>
        <v>413543</v>
      </c>
    </row>
    <row r="101" spans="1:16" ht="29.25">
      <c r="A101" s="90" t="s">
        <v>275</v>
      </c>
      <c r="B101" s="217" t="s">
        <v>276</v>
      </c>
      <c r="C101" s="25">
        <v>594485</v>
      </c>
      <c r="D101" s="25"/>
      <c r="E101" s="25"/>
      <c r="F101" s="25"/>
      <c r="G101" s="22"/>
      <c r="H101" s="127"/>
      <c r="I101" s="31"/>
      <c r="J101" s="31"/>
      <c r="K101" s="30"/>
      <c r="L101" s="30"/>
      <c r="M101" s="30"/>
      <c r="N101" s="30"/>
      <c r="O101" s="30"/>
      <c r="P101" s="23">
        <f t="shared" si="23"/>
        <v>594485</v>
      </c>
    </row>
    <row r="102" spans="1:16" ht="15">
      <c r="A102" s="90" t="s">
        <v>277</v>
      </c>
      <c r="B102" s="217" t="s">
        <v>278</v>
      </c>
      <c r="C102" s="25">
        <v>25179</v>
      </c>
      <c r="D102" s="25"/>
      <c r="E102" s="25"/>
      <c r="F102" s="25"/>
      <c r="G102" s="22"/>
      <c r="H102" s="127"/>
      <c r="I102" s="31"/>
      <c r="J102" s="31"/>
      <c r="K102" s="30"/>
      <c r="L102" s="30"/>
      <c r="M102" s="30"/>
      <c r="N102" s="30"/>
      <c r="O102" s="30"/>
      <c r="P102" s="23">
        <f t="shared" si="23"/>
        <v>25179</v>
      </c>
    </row>
    <row r="103" spans="1:16" ht="43.5">
      <c r="A103" s="90" t="s">
        <v>377</v>
      </c>
      <c r="B103" s="217" t="s">
        <v>376</v>
      </c>
      <c r="C103" s="25">
        <v>31826</v>
      </c>
      <c r="D103" s="25"/>
      <c r="E103" s="25"/>
      <c r="F103" s="25"/>
      <c r="G103" s="22"/>
      <c r="H103" s="127"/>
      <c r="I103" s="31"/>
      <c r="J103" s="31"/>
      <c r="K103" s="30"/>
      <c r="L103" s="30"/>
      <c r="M103" s="30"/>
      <c r="N103" s="30"/>
      <c r="O103" s="30"/>
      <c r="P103" s="23">
        <f t="shared" si="23"/>
        <v>31826</v>
      </c>
    </row>
    <row r="104" spans="1:16" ht="29.25">
      <c r="A104" s="90" t="s">
        <v>381</v>
      </c>
      <c r="B104" s="217" t="s">
        <v>380</v>
      </c>
      <c r="C104" s="25">
        <v>15053</v>
      </c>
      <c r="D104" s="25"/>
      <c r="E104" s="25"/>
      <c r="F104" s="25"/>
      <c r="G104" s="22"/>
      <c r="H104" s="127"/>
      <c r="I104" s="31"/>
      <c r="J104" s="31"/>
      <c r="K104" s="30"/>
      <c r="L104" s="30"/>
      <c r="M104" s="30"/>
      <c r="N104" s="30"/>
      <c r="O104" s="30"/>
      <c r="P104" s="23">
        <f t="shared" si="23"/>
        <v>15053</v>
      </c>
    </row>
    <row r="105" spans="1:16" ht="15">
      <c r="A105" s="91" t="s">
        <v>2</v>
      </c>
      <c r="B105" s="93" t="s">
        <v>85</v>
      </c>
      <c r="C105" s="34">
        <f>SUM(C106:C108)</f>
        <v>0</v>
      </c>
      <c r="D105" s="34">
        <f>SUM(D106:D108)</f>
        <v>2052159</v>
      </c>
      <c r="E105" s="34">
        <f>SUM(E106:E108)</f>
        <v>0</v>
      </c>
      <c r="F105" s="34">
        <f>SUM(F106:F108)</f>
        <v>0</v>
      </c>
      <c r="G105" s="33"/>
      <c r="H105" s="42">
        <f aca="true" t="shared" si="27" ref="H105:O105">SUM(H106:H108)</f>
        <v>52806</v>
      </c>
      <c r="I105" s="33">
        <f t="shared" si="27"/>
        <v>0</v>
      </c>
      <c r="J105" s="33">
        <f t="shared" si="27"/>
        <v>0</v>
      </c>
      <c r="K105" s="34">
        <f t="shared" si="27"/>
        <v>12639</v>
      </c>
      <c r="L105" s="34">
        <f t="shared" si="27"/>
        <v>0</v>
      </c>
      <c r="M105" s="34">
        <f t="shared" si="27"/>
        <v>12817</v>
      </c>
      <c r="N105" s="34">
        <f t="shared" si="27"/>
        <v>0</v>
      </c>
      <c r="O105" s="34">
        <f t="shared" si="27"/>
        <v>0</v>
      </c>
      <c r="P105" s="23">
        <f t="shared" si="23"/>
        <v>2130421</v>
      </c>
    </row>
    <row r="106" spans="1:16" ht="15">
      <c r="A106" s="90" t="s">
        <v>279</v>
      </c>
      <c r="B106" s="109" t="s">
        <v>143</v>
      </c>
      <c r="C106" s="25"/>
      <c r="D106" s="22">
        <v>27867</v>
      </c>
      <c r="E106" s="22"/>
      <c r="F106" s="25"/>
      <c r="G106" s="22"/>
      <c r="H106" s="199"/>
      <c r="I106" s="31"/>
      <c r="J106" s="31"/>
      <c r="K106" s="29"/>
      <c r="L106" s="29"/>
      <c r="M106" s="29"/>
      <c r="N106" s="29"/>
      <c r="O106" s="30"/>
      <c r="P106" s="23">
        <f t="shared" si="23"/>
        <v>27867</v>
      </c>
    </row>
    <row r="107" spans="1:16" ht="15">
      <c r="A107" s="112" t="s">
        <v>280</v>
      </c>
      <c r="B107" s="113" t="s">
        <v>86</v>
      </c>
      <c r="C107" s="46"/>
      <c r="D107" s="45">
        <v>2024292</v>
      </c>
      <c r="E107" s="45"/>
      <c r="F107" s="46"/>
      <c r="G107" s="45"/>
      <c r="H107" s="218">
        <v>52806</v>
      </c>
      <c r="I107" s="106"/>
      <c r="J107" s="106"/>
      <c r="K107" s="48">
        <v>12639</v>
      </c>
      <c r="L107" s="48"/>
      <c r="M107" s="48">
        <v>12817</v>
      </c>
      <c r="N107" s="48"/>
      <c r="O107" s="49"/>
      <c r="P107" s="23">
        <f t="shared" si="23"/>
        <v>2102554</v>
      </c>
    </row>
    <row r="108" spans="1:16" ht="29.25">
      <c r="A108" s="112" t="s">
        <v>281</v>
      </c>
      <c r="B108" s="109" t="s">
        <v>179</v>
      </c>
      <c r="C108" s="25"/>
      <c r="D108" s="22"/>
      <c r="E108" s="22"/>
      <c r="F108" s="25"/>
      <c r="G108" s="22"/>
      <c r="H108" s="199"/>
      <c r="I108" s="31"/>
      <c r="J108" s="31"/>
      <c r="K108" s="29"/>
      <c r="L108" s="29"/>
      <c r="M108" s="29"/>
      <c r="N108" s="29"/>
      <c r="O108" s="30"/>
      <c r="P108" s="23">
        <f t="shared" si="23"/>
        <v>0</v>
      </c>
    </row>
    <row r="109" spans="1:16" s="80" customFormat="1" ht="30">
      <c r="A109" s="91" t="s">
        <v>282</v>
      </c>
      <c r="B109" s="108" t="s">
        <v>283</v>
      </c>
      <c r="C109" s="18">
        <f aca="true" t="shared" si="28" ref="C109:O109">SUM(C110:C111)</f>
        <v>37240</v>
      </c>
      <c r="D109" s="18">
        <f t="shared" si="28"/>
        <v>0</v>
      </c>
      <c r="E109" s="18">
        <f t="shared" si="28"/>
        <v>0</v>
      </c>
      <c r="F109" s="18">
        <f t="shared" si="28"/>
        <v>0</v>
      </c>
      <c r="G109" s="18">
        <f t="shared" si="28"/>
        <v>0</v>
      </c>
      <c r="H109" s="18">
        <f t="shared" si="28"/>
        <v>0</v>
      </c>
      <c r="I109" s="18">
        <f t="shared" si="28"/>
        <v>0</v>
      </c>
      <c r="J109" s="18">
        <f t="shared" si="28"/>
        <v>0</v>
      </c>
      <c r="K109" s="18">
        <f t="shared" si="28"/>
        <v>0</v>
      </c>
      <c r="L109" s="18">
        <f t="shared" si="28"/>
        <v>0</v>
      </c>
      <c r="M109" s="18">
        <f t="shared" si="28"/>
        <v>0</v>
      </c>
      <c r="N109" s="18">
        <f t="shared" si="28"/>
        <v>0</v>
      </c>
      <c r="O109" s="18">
        <f t="shared" si="28"/>
        <v>0</v>
      </c>
      <c r="P109" s="23">
        <f t="shared" si="23"/>
        <v>37240</v>
      </c>
    </row>
    <row r="110" spans="1:16" ht="29.25">
      <c r="A110" s="90" t="s">
        <v>284</v>
      </c>
      <c r="B110" s="219" t="s">
        <v>181</v>
      </c>
      <c r="C110" s="89">
        <v>34094</v>
      </c>
      <c r="D110" s="89"/>
      <c r="E110" s="89"/>
      <c r="F110" s="89"/>
      <c r="G110" s="22"/>
      <c r="H110" s="220"/>
      <c r="I110" s="221"/>
      <c r="J110" s="221"/>
      <c r="K110" s="64"/>
      <c r="L110" s="64"/>
      <c r="M110" s="64"/>
      <c r="N110" s="64"/>
      <c r="O110" s="64"/>
      <c r="P110" s="23">
        <f t="shared" si="23"/>
        <v>34094</v>
      </c>
    </row>
    <row r="111" spans="1:16" ht="29.25">
      <c r="A111" s="90" t="s">
        <v>407</v>
      </c>
      <c r="B111" s="136" t="s">
        <v>408</v>
      </c>
      <c r="C111" s="25">
        <v>3146</v>
      </c>
      <c r="D111" s="89"/>
      <c r="E111" s="89"/>
      <c r="F111" s="89"/>
      <c r="G111" s="60"/>
      <c r="H111" s="220"/>
      <c r="I111" s="221"/>
      <c r="J111" s="221"/>
      <c r="K111" s="64"/>
      <c r="L111" s="64"/>
      <c r="M111" s="64"/>
      <c r="N111" s="64"/>
      <c r="O111" s="64"/>
      <c r="P111" s="23">
        <f t="shared" si="23"/>
        <v>3146</v>
      </c>
    </row>
    <row r="112" spans="1:16" s="80" customFormat="1" ht="30" customHeight="1">
      <c r="A112" s="88" t="s">
        <v>285</v>
      </c>
      <c r="B112" s="108" t="s">
        <v>286</v>
      </c>
      <c r="C112" s="34">
        <f>SUM(C113:C113)</f>
        <v>3358</v>
      </c>
      <c r="D112" s="34">
        <f aca="true" t="shared" si="29" ref="D112:O112">SUM(D113:D113)</f>
        <v>0</v>
      </c>
      <c r="E112" s="34">
        <f t="shared" si="29"/>
        <v>0</v>
      </c>
      <c r="F112" s="34">
        <f t="shared" si="29"/>
        <v>0</v>
      </c>
      <c r="G112" s="34">
        <f t="shared" si="29"/>
        <v>0</v>
      </c>
      <c r="H112" s="34">
        <f t="shared" si="29"/>
        <v>0</v>
      </c>
      <c r="I112" s="34">
        <f t="shared" si="29"/>
        <v>0</v>
      </c>
      <c r="J112" s="34">
        <f t="shared" si="29"/>
        <v>0</v>
      </c>
      <c r="K112" s="34">
        <f t="shared" si="29"/>
        <v>0</v>
      </c>
      <c r="L112" s="34">
        <f t="shared" si="29"/>
        <v>0</v>
      </c>
      <c r="M112" s="34">
        <f t="shared" si="29"/>
        <v>0</v>
      </c>
      <c r="N112" s="34">
        <f t="shared" si="29"/>
        <v>0</v>
      </c>
      <c r="O112" s="34">
        <f t="shared" si="29"/>
        <v>0</v>
      </c>
      <c r="P112" s="216">
        <f>SUM(C112:O112)</f>
        <v>3358</v>
      </c>
    </row>
    <row r="113" spans="1:16" ht="30" customHeight="1" thickBot="1">
      <c r="A113" s="257" t="s">
        <v>423</v>
      </c>
      <c r="B113" s="258" t="s">
        <v>422</v>
      </c>
      <c r="C113" s="116">
        <v>3358</v>
      </c>
      <c r="D113" s="116"/>
      <c r="E113" s="116"/>
      <c r="F113" s="116"/>
      <c r="G113" s="116"/>
      <c r="H113" s="150"/>
      <c r="I113" s="116"/>
      <c r="J113" s="116"/>
      <c r="K113" s="116"/>
      <c r="L113" s="116"/>
      <c r="M113" s="116"/>
      <c r="N113" s="116"/>
      <c r="O113" s="116"/>
      <c r="P113" s="216">
        <f>SUM(C113:O113)</f>
        <v>3358</v>
      </c>
    </row>
    <row r="114" spans="1:16" ht="30.75" thickBot="1">
      <c r="A114" s="102" t="s">
        <v>3</v>
      </c>
      <c r="B114" s="111" t="s">
        <v>87</v>
      </c>
      <c r="C114" s="85">
        <f>SUM(C115:C120)</f>
        <v>655560</v>
      </c>
      <c r="D114" s="85">
        <f>SUM(D115:D120)</f>
        <v>8034289</v>
      </c>
      <c r="E114" s="85">
        <f>SUM(E115:E120)</f>
        <v>0</v>
      </c>
      <c r="F114" s="85">
        <f>SUM(F115:F120)</f>
        <v>0</v>
      </c>
      <c r="G114" s="86"/>
      <c r="H114" s="197">
        <f aca="true" t="shared" si="30" ref="H114:O114">SUM(H115:H120)</f>
        <v>210468</v>
      </c>
      <c r="I114" s="86">
        <f t="shared" si="30"/>
        <v>145792</v>
      </c>
      <c r="J114" s="86">
        <f t="shared" si="30"/>
        <v>100317</v>
      </c>
      <c r="K114" s="85">
        <f t="shared" si="30"/>
        <v>337660</v>
      </c>
      <c r="L114" s="85">
        <f t="shared" si="30"/>
        <v>13945</v>
      </c>
      <c r="M114" s="85">
        <f t="shared" si="30"/>
        <v>27498</v>
      </c>
      <c r="N114" s="85">
        <f t="shared" si="30"/>
        <v>247383</v>
      </c>
      <c r="O114" s="85">
        <f t="shared" si="30"/>
        <v>113836</v>
      </c>
      <c r="P114" s="87">
        <f t="shared" si="23"/>
        <v>9886748</v>
      </c>
    </row>
    <row r="115" spans="1:16" ht="15">
      <c r="A115" s="88" t="s">
        <v>379</v>
      </c>
      <c r="B115" s="108" t="s">
        <v>180</v>
      </c>
      <c r="C115" s="18">
        <v>2420</v>
      </c>
      <c r="D115" s="17"/>
      <c r="E115" s="60"/>
      <c r="F115" s="89"/>
      <c r="G115" s="60"/>
      <c r="H115" s="205"/>
      <c r="J115" s="62"/>
      <c r="K115" s="63"/>
      <c r="L115" s="63"/>
      <c r="M115" s="63"/>
      <c r="N115" s="63"/>
      <c r="O115" s="64"/>
      <c r="P115" s="164">
        <f t="shared" si="23"/>
        <v>2420</v>
      </c>
    </row>
    <row r="116" spans="1:16" ht="15">
      <c r="A116" s="91" t="s">
        <v>88</v>
      </c>
      <c r="B116" s="93" t="s">
        <v>287</v>
      </c>
      <c r="C116" s="25">
        <v>63850</v>
      </c>
      <c r="D116" s="33"/>
      <c r="E116" s="22"/>
      <c r="F116" s="25"/>
      <c r="G116" s="22"/>
      <c r="H116" s="199"/>
      <c r="I116" s="31"/>
      <c r="J116" s="31"/>
      <c r="K116" s="29"/>
      <c r="L116" s="29"/>
      <c r="M116" s="29"/>
      <c r="N116" s="29"/>
      <c r="O116" s="30"/>
      <c r="P116" s="23">
        <f t="shared" si="23"/>
        <v>63850</v>
      </c>
    </row>
    <row r="117" spans="1:16" ht="15">
      <c r="A117" s="91" t="s">
        <v>89</v>
      </c>
      <c r="B117" s="93" t="s">
        <v>90</v>
      </c>
      <c r="C117" s="25"/>
      <c r="D117" s="33">
        <v>106585</v>
      </c>
      <c r="E117" s="22"/>
      <c r="F117" s="25"/>
      <c r="G117" s="22"/>
      <c r="H117" s="27">
        <v>18571</v>
      </c>
      <c r="I117" s="31"/>
      <c r="J117" s="28">
        <v>5110</v>
      </c>
      <c r="K117" s="29">
        <v>19571</v>
      </c>
      <c r="L117" s="29"/>
      <c r="M117" s="29">
        <v>5603</v>
      </c>
      <c r="N117" s="29">
        <v>47847</v>
      </c>
      <c r="O117" s="30"/>
      <c r="P117" s="23">
        <f t="shared" si="23"/>
        <v>203287</v>
      </c>
    </row>
    <row r="118" spans="1:16" ht="30">
      <c r="A118" s="91" t="s">
        <v>288</v>
      </c>
      <c r="B118" s="93" t="s">
        <v>232</v>
      </c>
      <c r="C118" s="25"/>
      <c r="D118" s="33"/>
      <c r="E118" s="22"/>
      <c r="F118" s="25"/>
      <c r="G118" s="22"/>
      <c r="H118" s="27">
        <v>719</v>
      </c>
      <c r="I118" s="28">
        <v>12767</v>
      </c>
      <c r="J118" s="28"/>
      <c r="K118" s="29">
        <v>41036</v>
      </c>
      <c r="L118" s="29"/>
      <c r="M118" s="29"/>
      <c r="N118" s="29">
        <v>198736</v>
      </c>
      <c r="O118" s="30">
        <v>38913</v>
      </c>
      <c r="P118" s="23">
        <f t="shared" si="23"/>
        <v>292171</v>
      </c>
    </row>
    <row r="119" spans="1:16" ht="15">
      <c r="A119" s="91" t="s">
        <v>91</v>
      </c>
      <c r="B119" s="93" t="s">
        <v>92</v>
      </c>
      <c r="C119" s="34">
        <v>244821</v>
      </c>
      <c r="D119" s="33">
        <v>1500</v>
      </c>
      <c r="E119" s="22"/>
      <c r="F119" s="25"/>
      <c r="G119" s="22"/>
      <c r="H119" s="27">
        <v>3200</v>
      </c>
      <c r="I119" s="31"/>
      <c r="J119" s="31"/>
      <c r="K119" s="29">
        <v>2529</v>
      </c>
      <c r="L119" s="29"/>
      <c r="M119" s="29"/>
      <c r="N119" s="29">
        <v>800</v>
      </c>
      <c r="O119" s="30"/>
      <c r="P119" s="23">
        <f t="shared" si="23"/>
        <v>252850</v>
      </c>
    </row>
    <row r="120" spans="1:16" ht="45">
      <c r="A120" s="91" t="s">
        <v>93</v>
      </c>
      <c r="B120" s="93" t="s">
        <v>94</v>
      </c>
      <c r="C120" s="34">
        <f aca="true" t="shared" si="31" ref="C120:O120">SUM(C121:C128)</f>
        <v>344469</v>
      </c>
      <c r="D120" s="34">
        <f t="shared" si="31"/>
        <v>7926204</v>
      </c>
      <c r="E120" s="34">
        <f t="shared" si="31"/>
        <v>0</v>
      </c>
      <c r="F120" s="34">
        <f t="shared" si="31"/>
        <v>0</v>
      </c>
      <c r="G120" s="34">
        <f t="shared" si="31"/>
        <v>0</v>
      </c>
      <c r="H120" s="34">
        <f t="shared" si="31"/>
        <v>187978</v>
      </c>
      <c r="I120" s="34">
        <f t="shared" si="31"/>
        <v>133025</v>
      </c>
      <c r="J120" s="34">
        <f t="shared" si="31"/>
        <v>95207</v>
      </c>
      <c r="K120" s="34">
        <f t="shared" si="31"/>
        <v>274524</v>
      </c>
      <c r="L120" s="34">
        <f t="shared" si="31"/>
        <v>13945</v>
      </c>
      <c r="M120" s="34">
        <f t="shared" si="31"/>
        <v>21895</v>
      </c>
      <c r="N120" s="34">
        <f t="shared" si="31"/>
        <v>0</v>
      </c>
      <c r="O120" s="34">
        <f t="shared" si="31"/>
        <v>74923</v>
      </c>
      <c r="P120" s="23">
        <f t="shared" si="23"/>
        <v>9072170</v>
      </c>
    </row>
    <row r="121" spans="1:16" ht="15">
      <c r="A121" s="90" t="s">
        <v>289</v>
      </c>
      <c r="B121" s="109" t="s">
        <v>409</v>
      </c>
      <c r="C121" s="25"/>
      <c r="D121" s="22">
        <v>3344764</v>
      </c>
      <c r="E121" s="22"/>
      <c r="F121" s="25"/>
      <c r="G121" s="22"/>
      <c r="H121" s="195">
        <v>12655</v>
      </c>
      <c r="I121" s="61">
        <f>117340+600</f>
        <v>117940</v>
      </c>
      <c r="J121" s="28">
        <v>5750</v>
      </c>
      <c r="K121" s="29"/>
      <c r="L121" s="29">
        <v>12449</v>
      </c>
      <c r="M121" s="29"/>
      <c r="N121" s="29"/>
      <c r="O121" s="29">
        <v>74923</v>
      </c>
      <c r="P121" s="23">
        <f t="shared" si="23"/>
        <v>3568481</v>
      </c>
    </row>
    <row r="122" spans="1:16" ht="15">
      <c r="A122" s="90" t="s">
        <v>290</v>
      </c>
      <c r="B122" s="109" t="s">
        <v>410</v>
      </c>
      <c r="C122" s="25"/>
      <c r="D122" s="22">
        <v>4581440</v>
      </c>
      <c r="E122" s="22"/>
      <c r="F122" s="25"/>
      <c r="G122" s="22"/>
      <c r="H122" s="195">
        <v>153507</v>
      </c>
      <c r="I122" s="31"/>
      <c r="J122" s="28">
        <v>63255</v>
      </c>
      <c r="K122" s="29">
        <v>196831</v>
      </c>
      <c r="L122" s="29"/>
      <c r="M122" s="29"/>
      <c r="N122" s="29"/>
      <c r="O122" s="30"/>
      <c r="P122" s="23">
        <f t="shared" si="23"/>
        <v>4995033</v>
      </c>
    </row>
    <row r="123" spans="1:16" ht="15">
      <c r="A123" s="90" t="s">
        <v>291</v>
      </c>
      <c r="B123" s="109" t="s">
        <v>411</v>
      </c>
      <c r="C123" s="25">
        <v>250559</v>
      </c>
      <c r="D123" s="22"/>
      <c r="E123" s="22"/>
      <c r="F123" s="25"/>
      <c r="G123" s="22"/>
      <c r="H123" s="27">
        <v>4539</v>
      </c>
      <c r="I123" s="31"/>
      <c r="J123" s="31"/>
      <c r="K123" s="29">
        <v>18201</v>
      </c>
      <c r="L123" s="29">
        <v>1496</v>
      </c>
      <c r="M123" s="29"/>
      <c r="N123" s="29"/>
      <c r="O123" s="30"/>
      <c r="P123" s="23">
        <f t="shared" si="23"/>
        <v>274795</v>
      </c>
    </row>
    <row r="124" spans="1:16" ht="15">
      <c r="A124" s="90" t="s">
        <v>292</v>
      </c>
      <c r="B124" s="109" t="s">
        <v>412</v>
      </c>
      <c r="C124" s="89">
        <v>30000</v>
      </c>
      <c r="D124" s="22"/>
      <c r="E124" s="22"/>
      <c r="F124" s="25"/>
      <c r="G124" s="22"/>
      <c r="H124" s="199"/>
      <c r="I124" s="31"/>
      <c r="J124" s="31"/>
      <c r="K124" s="29"/>
      <c r="L124" s="29"/>
      <c r="M124" s="29"/>
      <c r="N124" s="29"/>
      <c r="O124" s="30"/>
      <c r="P124" s="23">
        <f aca="true" t="shared" si="32" ref="P124:P150">SUM(C124:O124)</f>
        <v>30000</v>
      </c>
    </row>
    <row r="125" spans="1:16" ht="43.5">
      <c r="A125" s="90" t="s">
        <v>293</v>
      </c>
      <c r="B125" s="114" t="s">
        <v>413</v>
      </c>
      <c r="C125" s="89">
        <v>25000</v>
      </c>
      <c r="D125" s="22"/>
      <c r="E125" s="22"/>
      <c r="F125" s="25"/>
      <c r="G125" s="22"/>
      <c r="H125" s="27">
        <v>3500</v>
      </c>
      <c r="I125" s="31"/>
      <c r="J125" s="28">
        <v>1000</v>
      </c>
      <c r="K125" s="29">
        <v>2718</v>
      </c>
      <c r="L125" s="29"/>
      <c r="M125" s="29"/>
      <c r="N125" s="29"/>
      <c r="O125" s="30"/>
      <c r="P125" s="23">
        <f t="shared" si="32"/>
        <v>32218</v>
      </c>
    </row>
    <row r="126" spans="1:16" ht="15">
      <c r="A126" s="90" t="s">
        <v>294</v>
      </c>
      <c r="B126" s="115" t="s">
        <v>182</v>
      </c>
      <c r="C126" s="25">
        <v>33900</v>
      </c>
      <c r="D126" s="25"/>
      <c r="E126" s="25"/>
      <c r="F126" s="25"/>
      <c r="G126" s="22"/>
      <c r="H126" s="27">
        <f>15077-1300</f>
        <v>13777</v>
      </c>
      <c r="I126" s="31"/>
      <c r="J126" s="28">
        <v>25202</v>
      </c>
      <c r="K126" s="29"/>
      <c r="L126" s="29"/>
      <c r="M126" s="29"/>
      <c r="N126" s="29"/>
      <c r="O126" s="30"/>
      <c r="P126" s="23">
        <f t="shared" si="32"/>
        <v>72879</v>
      </c>
    </row>
    <row r="127" spans="1:16" ht="15">
      <c r="A127" s="90" t="s">
        <v>295</v>
      </c>
      <c r="B127" s="109" t="s">
        <v>144</v>
      </c>
      <c r="C127" s="22">
        <v>5010</v>
      </c>
      <c r="D127" s="22"/>
      <c r="E127" s="262"/>
      <c r="F127" s="22"/>
      <c r="G127" s="22"/>
      <c r="H127" s="199"/>
      <c r="I127" s="31"/>
      <c r="J127" s="31"/>
      <c r="K127" s="29"/>
      <c r="L127" s="29"/>
      <c r="M127" s="29"/>
      <c r="N127" s="29"/>
      <c r="O127" s="30"/>
      <c r="P127" s="23">
        <f t="shared" si="32"/>
        <v>5010</v>
      </c>
    </row>
    <row r="128" spans="1:16" ht="15.75" thickBot="1">
      <c r="A128" s="90" t="s">
        <v>296</v>
      </c>
      <c r="B128" s="261" t="s">
        <v>297</v>
      </c>
      <c r="C128" s="25"/>
      <c r="D128" s="25"/>
      <c r="E128" s="25"/>
      <c r="F128" s="25"/>
      <c r="G128" s="22"/>
      <c r="H128" s="225"/>
      <c r="I128" s="28">
        <f>14785+300</f>
        <v>15085</v>
      </c>
      <c r="J128" s="31"/>
      <c r="K128" s="226">
        <v>56774</v>
      </c>
      <c r="L128" s="30"/>
      <c r="M128" s="29">
        <v>21895</v>
      </c>
      <c r="N128" s="30"/>
      <c r="O128" s="30"/>
      <c r="P128" s="23">
        <f t="shared" si="32"/>
        <v>93754</v>
      </c>
    </row>
    <row r="129" spans="1:16" ht="15.75" thickBot="1">
      <c r="A129" s="102" t="s">
        <v>4</v>
      </c>
      <c r="B129" s="84" t="s">
        <v>95</v>
      </c>
      <c r="C129" s="85">
        <f aca="true" t="shared" si="33" ref="C129:O129">SUM(C130,C134)</f>
        <v>700</v>
      </c>
      <c r="D129" s="85">
        <f t="shared" si="33"/>
        <v>0</v>
      </c>
      <c r="E129" s="85">
        <f t="shared" si="33"/>
        <v>0</v>
      </c>
      <c r="F129" s="85">
        <f t="shared" si="33"/>
        <v>403665</v>
      </c>
      <c r="G129" s="85">
        <f t="shared" si="33"/>
        <v>0</v>
      </c>
      <c r="H129" s="85">
        <f t="shared" si="33"/>
        <v>1900</v>
      </c>
      <c r="I129" s="85">
        <f t="shared" si="33"/>
        <v>0</v>
      </c>
      <c r="J129" s="85">
        <f t="shared" si="33"/>
        <v>0</v>
      </c>
      <c r="K129" s="85">
        <f t="shared" si="33"/>
        <v>0</v>
      </c>
      <c r="L129" s="85">
        <f t="shared" si="33"/>
        <v>1575</v>
      </c>
      <c r="M129" s="85">
        <f t="shared" si="33"/>
        <v>14108</v>
      </c>
      <c r="N129" s="85">
        <f t="shared" si="33"/>
        <v>1420</v>
      </c>
      <c r="O129" s="85">
        <f t="shared" si="33"/>
        <v>12050</v>
      </c>
      <c r="P129" s="87">
        <f t="shared" si="32"/>
        <v>435418</v>
      </c>
    </row>
    <row r="130" spans="1:16" s="80" customFormat="1" ht="15">
      <c r="A130" s="88" t="s">
        <v>96</v>
      </c>
      <c r="B130" s="16" t="s">
        <v>97</v>
      </c>
      <c r="C130" s="18">
        <f aca="true" t="shared" si="34" ref="C130:O130">SUM(C131:C133)</f>
        <v>700</v>
      </c>
      <c r="D130" s="18">
        <f t="shared" si="34"/>
        <v>0</v>
      </c>
      <c r="E130" s="18">
        <f t="shared" si="34"/>
        <v>0</v>
      </c>
      <c r="F130" s="18">
        <f t="shared" si="34"/>
        <v>403665</v>
      </c>
      <c r="G130" s="18">
        <f t="shared" si="34"/>
        <v>0</v>
      </c>
      <c r="H130" s="18">
        <f t="shared" si="34"/>
        <v>1900</v>
      </c>
      <c r="I130" s="18">
        <f t="shared" si="34"/>
        <v>0</v>
      </c>
      <c r="J130" s="18">
        <f t="shared" si="34"/>
        <v>0</v>
      </c>
      <c r="K130" s="18">
        <f t="shared" si="34"/>
        <v>0</v>
      </c>
      <c r="L130" s="18">
        <f t="shared" si="34"/>
        <v>1575</v>
      </c>
      <c r="M130" s="18">
        <f t="shared" si="34"/>
        <v>14108</v>
      </c>
      <c r="N130" s="18">
        <f t="shared" si="34"/>
        <v>1420</v>
      </c>
      <c r="O130" s="18">
        <f t="shared" si="34"/>
        <v>12050</v>
      </c>
      <c r="P130" s="223">
        <f t="shared" si="32"/>
        <v>435418</v>
      </c>
    </row>
    <row r="131" spans="1:16" ht="15">
      <c r="A131" s="90" t="s">
        <v>298</v>
      </c>
      <c r="B131" s="21" t="s">
        <v>98</v>
      </c>
      <c r="C131" s="25"/>
      <c r="D131" s="22"/>
      <c r="E131" s="22"/>
      <c r="F131" s="25">
        <v>255915</v>
      </c>
      <c r="G131" s="22"/>
      <c r="H131" s="199"/>
      <c r="I131" s="31"/>
      <c r="J131" s="31"/>
      <c r="K131" s="29"/>
      <c r="L131" s="29"/>
      <c r="M131" s="29"/>
      <c r="N131" s="29"/>
      <c r="O131" s="30"/>
      <c r="P131" s="23">
        <f t="shared" si="32"/>
        <v>255915</v>
      </c>
    </row>
    <row r="132" spans="1:16" ht="15">
      <c r="A132" s="90" t="s">
        <v>298</v>
      </c>
      <c r="B132" s="21" t="s">
        <v>99</v>
      </c>
      <c r="C132" s="25"/>
      <c r="D132" s="22"/>
      <c r="E132" s="22"/>
      <c r="F132" s="25">
        <v>147750</v>
      </c>
      <c r="G132" s="22"/>
      <c r="H132" s="199"/>
      <c r="I132" s="31"/>
      <c r="J132" s="31"/>
      <c r="K132" s="29"/>
      <c r="L132" s="29"/>
      <c r="M132" s="29"/>
      <c r="N132" s="29"/>
      <c r="O132" s="30"/>
      <c r="P132" s="23">
        <f t="shared" si="32"/>
        <v>147750</v>
      </c>
    </row>
    <row r="133" spans="1:16" ht="15">
      <c r="A133" s="90" t="s">
        <v>299</v>
      </c>
      <c r="B133" s="21" t="s">
        <v>183</v>
      </c>
      <c r="C133" s="25">
        <v>700</v>
      </c>
      <c r="D133" s="22"/>
      <c r="E133" s="22"/>
      <c r="F133" s="25"/>
      <c r="G133" s="22"/>
      <c r="H133" s="27">
        <v>1900</v>
      </c>
      <c r="I133" s="31"/>
      <c r="J133" s="31"/>
      <c r="K133" s="29"/>
      <c r="L133" s="29">
        <v>1575</v>
      </c>
      <c r="M133" s="29">
        <v>14108</v>
      </c>
      <c r="N133" s="29">
        <v>1420</v>
      </c>
      <c r="O133" s="30">
        <v>12050</v>
      </c>
      <c r="P133" s="23">
        <f t="shared" si="32"/>
        <v>31753</v>
      </c>
    </row>
    <row r="134" spans="1:16" s="123" customFormat="1" ht="15.75" thickBot="1">
      <c r="A134" s="121"/>
      <c r="B134" s="122"/>
      <c r="C134" s="116"/>
      <c r="D134" s="116"/>
      <c r="E134" s="116"/>
      <c r="F134" s="116"/>
      <c r="G134" s="191"/>
      <c r="H134" s="222"/>
      <c r="I134" s="141"/>
      <c r="J134" s="141"/>
      <c r="K134" s="117"/>
      <c r="L134" s="117"/>
      <c r="M134" s="117"/>
      <c r="N134" s="117"/>
      <c r="O134" s="117"/>
      <c r="P134" s="23">
        <f t="shared" si="32"/>
        <v>0</v>
      </c>
    </row>
    <row r="135" spans="1:16" ht="15.75" thickBot="1">
      <c r="A135" s="102" t="s">
        <v>6</v>
      </c>
      <c r="B135" s="84" t="s">
        <v>100</v>
      </c>
      <c r="C135" s="85">
        <f aca="true" t="shared" si="35" ref="C135:O135">C136+C139+C153+C154</f>
        <v>724863</v>
      </c>
      <c r="D135" s="85">
        <f t="shared" si="35"/>
        <v>0</v>
      </c>
      <c r="E135" s="85">
        <f t="shared" si="35"/>
        <v>674771</v>
      </c>
      <c r="F135" s="85">
        <f t="shared" si="35"/>
        <v>0</v>
      </c>
      <c r="G135" s="85">
        <f t="shared" si="35"/>
        <v>0</v>
      </c>
      <c r="H135" s="85">
        <f t="shared" si="35"/>
        <v>142445</v>
      </c>
      <c r="I135" s="85">
        <f t="shared" si="35"/>
        <v>42032</v>
      </c>
      <c r="J135" s="85">
        <f t="shared" si="35"/>
        <v>47407</v>
      </c>
      <c r="K135" s="85">
        <f t="shared" si="35"/>
        <v>83307</v>
      </c>
      <c r="L135" s="85">
        <f t="shared" si="35"/>
        <v>18713</v>
      </c>
      <c r="M135" s="85">
        <f t="shared" si="35"/>
        <v>42159</v>
      </c>
      <c r="N135" s="85">
        <f t="shared" si="35"/>
        <v>35599</v>
      </c>
      <c r="O135" s="85">
        <f t="shared" si="35"/>
        <v>53526</v>
      </c>
      <c r="P135" s="87">
        <f t="shared" si="32"/>
        <v>1864822</v>
      </c>
    </row>
    <row r="136" spans="1:16" ht="15">
      <c r="A136" s="88" t="s">
        <v>101</v>
      </c>
      <c r="B136" s="16" t="s">
        <v>102</v>
      </c>
      <c r="C136" s="18">
        <f>SUM(C137:C138)</f>
        <v>139840</v>
      </c>
      <c r="D136" s="60"/>
      <c r="E136" s="60"/>
      <c r="F136" s="89"/>
      <c r="G136" s="60"/>
      <c r="H136" s="172">
        <f aca="true" t="shared" si="36" ref="H136:O136">SUM(H137:H138)</f>
        <v>4664</v>
      </c>
      <c r="I136" s="17">
        <f t="shared" si="36"/>
        <v>1640</v>
      </c>
      <c r="J136" s="17">
        <f t="shared" si="36"/>
        <v>1000</v>
      </c>
      <c r="K136" s="18">
        <f t="shared" si="36"/>
        <v>3100</v>
      </c>
      <c r="L136" s="18">
        <f t="shared" si="36"/>
        <v>0</v>
      </c>
      <c r="M136" s="18">
        <f t="shared" si="36"/>
        <v>0</v>
      </c>
      <c r="N136" s="18">
        <f t="shared" si="36"/>
        <v>2020</v>
      </c>
      <c r="O136" s="18">
        <f t="shared" si="36"/>
        <v>0</v>
      </c>
      <c r="P136" s="164">
        <f t="shared" si="32"/>
        <v>152264</v>
      </c>
    </row>
    <row r="137" spans="1:16" ht="15">
      <c r="A137" s="90" t="s">
        <v>300</v>
      </c>
      <c r="B137" s="21" t="s">
        <v>103</v>
      </c>
      <c r="C137" s="25">
        <v>34000</v>
      </c>
      <c r="D137" s="22"/>
      <c r="E137" s="22"/>
      <c r="F137" s="25"/>
      <c r="G137" s="22"/>
      <c r="H137" s="27">
        <v>4664</v>
      </c>
      <c r="I137" s="28">
        <v>1640</v>
      </c>
      <c r="J137" s="28">
        <v>1000</v>
      </c>
      <c r="K137" s="29">
        <v>3100</v>
      </c>
      <c r="L137" s="29"/>
      <c r="M137" s="29"/>
      <c r="N137" s="29">
        <v>2020</v>
      </c>
      <c r="O137" s="30"/>
      <c r="P137" s="23">
        <f t="shared" si="32"/>
        <v>46424</v>
      </c>
    </row>
    <row r="138" spans="1:16" ht="29.25">
      <c r="A138" s="90" t="s">
        <v>301</v>
      </c>
      <c r="B138" s="21" t="s">
        <v>104</v>
      </c>
      <c r="C138" s="40">
        <v>105840</v>
      </c>
      <c r="D138" s="22"/>
      <c r="E138" s="22"/>
      <c r="F138" s="25"/>
      <c r="G138" s="22"/>
      <c r="H138" s="199"/>
      <c r="I138" s="31"/>
      <c r="J138" s="31"/>
      <c r="K138" s="29"/>
      <c r="L138" s="29"/>
      <c r="M138" s="29"/>
      <c r="N138" s="29"/>
      <c r="O138" s="30"/>
      <c r="P138" s="23">
        <f t="shared" si="32"/>
        <v>105840</v>
      </c>
    </row>
    <row r="139" spans="1:16" ht="15">
      <c r="A139" s="91" t="s">
        <v>105</v>
      </c>
      <c r="B139" s="93" t="s">
        <v>5</v>
      </c>
      <c r="C139" s="34">
        <f aca="true" t="shared" si="37" ref="C139:O139">SUM(C140:C146)</f>
        <v>494962</v>
      </c>
      <c r="D139" s="34">
        <f t="shared" si="37"/>
        <v>0</v>
      </c>
      <c r="E139" s="34">
        <f t="shared" si="37"/>
        <v>674771</v>
      </c>
      <c r="F139" s="34">
        <f t="shared" si="37"/>
        <v>0</v>
      </c>
      <c r="G139" s="34">
        <f t="shared" si="37"/>
        <v>0</v>
      </c>
      <c r="H139" s="34">
        <f t="shared" si="37"/>
        <v>137781</v>
      </c>
      <c r="I139" s="34">
        <f t="shared" si="37"/>
        <v>40392</v>
      </c>
      <c r="J139" s="34">
        <f t="shared" si="37"/>
        <v>44579</v>
      </c>
      <c r="K139" s="34">
        <f t="shared" si="37"/>
        <v>78768</v>
      </c>
      <c r="L139" s="34">
        <f t="shared" si="37"/>
        <v>18713</v>
      </c>
      <c r="M139" s="34">
        <f t="shared" si="37"/>
        <v>42159</v>
      </c>
      <c r="N139" s="34">
        <f t="shared" si="37"/>
        <v>33579</v>
      </c>
      <c r="O139" s="34">
        <f t="shared" si="37"/>
        <v>53526</v>
      </c>
      <c r="P139" s="23">
        <f t="shared" si="32"/>
        <v>1619230</v>
      </c>
    </row>
    <row r="140" spans="1:16" ht="15">
      <c r="A140" s="90" t="s">
        <v>106</v>
      </c>
      <c r="B140" s="21" t="s">
        <v>184</v>
      </c>
      <c r="C140" s="25">
        <v>241929</v>
      </c>
      <c r="D140" s="22"/>
      <c r="E140" s="22"/>
      <c r="F140" s="25"/>
      <c r="G140" s="22"/>
      <c r="H140" s="195">
        <v>19573</v>
      </c>
      <c r="I140" s="28">
        <v>15334</v>
      </c>
      <c r="J140" s="28">
        <v>8060</v>
      </c>
      <c r="K140" s="29">
        <v>17083</v>
      </c>
      <c r="L140" s="178">
        <v>8204</v>
      </c>
      <c r="M140" s="29">
        <v>10027</v>
      </c>
      <c r="N140" s="175">
        <v>10162</v>
      </c>
      <c r="O140" s="30">
        <v>10456</v>
      </c>
      <c r="P140" s="23">
        <f t="shared" si="32"/>
        <v>340828</v>
      </c>
    </row>
    <row r="141" spans="1:16" ht="15">
      <c r="A141" s="90" t="s">
        <v>107</v>
      </c>
      <c r="B141" s="21" t="s">
        <v>145</v>
      </c>
      <c r="C141" s="25"/>
      <c r="D141" s="22"/>
      <c r="E141" s="22"/>
      <c r="F141" s="25"/>
      <c r="G141" s="22"/>
      <c r="H141" s="199"/>
      <c r="I141" s="31"/>
      <c r="J141" s="28"/>
      <c r="K141" s="29"/>
      <c r="L141" s="29"/>
      <c r="M141" s="29"/>
      <c r="N141" s="29">
        <v>510</v>
      </c>
      <c r="O141" s="30"/>
      <c r="P141" s="23">
        <f t="shared" si="32"/>
        <v>510</v>
      </c>
    </row>
    <row r="142" spans="1:16" ht="15">
      <c r="A142" s="90" t="s">
        <v>302</v>
      </c>
      <c r="B142" s="21" t="s">
        <v>146</v>
      </c>
      <c r="C142" s="40">
        <v>3628</v>
      </c>
      <c r="D142" s="22"/>
      <c r="E142" s="22"/>
      <c r="F142" s="25"/>
      <c r="G142" s="22"/>
      <c r="H142" s="199"/>
      <c r="I142" s="31"/>
      <c r="J142" s="28"/>
      <c r="K142" s="29"/>
      <c r="L142" s="29"/>
      <c r="M142" s="29"/>
      <c r="N142" s="29"/>
      <c r="O142" s="30"/>
      <c r="P142" s="23">
        <f t="shared" si="32"/>
        <v>3628</v>
      </c>
    </row>
    <row r="143" spans="1:16" ht="15">
      <c r="A143" s="90" t="s">
        <v>303</v>
      </c>
      <c r="B143" s="21" t="s">
        <v>414</v>
      </c>
      <c r="C143" s="40">
        <v>97598</v>
      </c>
      <c r="D143" s="22"/>
      <c r="E143" s="22"/>
      <c r="F143" s="25"/>
      <c r="G143" s="22"/>
      <c r="H143" s="199"/>
      <c r="I143" s="31"/>
      <c r="J143" s="28"/>
      <c r="K143" s="29"/>
      <c r="L143" s="29"/>
      <c r="M143" s="29"/>
      <c r="N143" s="29"/>
      <c r="O143" s="30"/>
      <c r="P143" s="23">
        <f t="shared" si="32"/>
        <v>97598</v>
      </c>
    </row>
    <row r="144" spans="1:16" ht="15">
      <c r="A144" s="90" t="s">
        <v>108</v>
      </c>
      <c r="B144" s="21" t="s">
        <v>304</v>
      </c>
      <c r="C144" s="25"/>
      <c r="D144" s="22"/>
      <c r="E144" s="36">
        <v>90548</v>
      </c>
      <c r="F144" s="25"/>
      <c r="G144" s="36"/>
      <c r="H144" s="195">
        <v>118208</v>
      </c>
      <c r="I144" s="28">
        <f>24944+14+100</f>
        <v>25058</v>
      </c>
      <c r="J144" s="28">
        <v>36519</v>
      </c>
      <c r="K144" s="29">
        <f>59935+1750</f>
        <v>61685</v>
      </c>
      <c r="L144" s="29">
        <v>10509</v>
      </c>
      <c r="M144" s="29">
        <v>32132</v>
      </c>
      <c r="N144" s="175">
        <v>22907</v>
      </c>
      <c r="O144" s="29">
        <v>41070</v>
      </c>
      <c r="P144" s="23">
        <f t="shared" si="32"/>
        <v>438636</v>
      </c>
    </row>
    <row r="145" spans="1:16" ht="29.25">
      <c r="A145" s="90" t="s">
        <v>108</v>
      </c>
      <c r="B145" s="21" t="s">
        <v>147</v>
      </c>
      <c r="C145" s="25"/>
      <c r="D145" s="22"/>
      <c r="E145" s="36">
        <f>579948+2525+1750</f>
        <v>584223</v>
      </c>
      <c r="F145" s="25"/>
      <c r="G145" s="36"/>
      <c r="H145" s="199"/>
      <c r="I145" s="31"/>
      <c r="J145" s="31"/>
      <c r="K145" s="29"/>
      <c r="L145" s="29"/>
      <c r="M145" s="29"/>
      <c r="N145" s="29"/>
      <c r="O145" s="30"/>
      <c r="P145" s="23">
        <f t="shared" si="32"/>
        <v>584223</v>
      </c>
    </row>
    <row r="146" spans="1:16" s="80" customFormat="1" ht="15">
      <c r="A146" s="91" t="s">
        <v>109</v>
      </c>
      <c r="B146" s="32" t="s">
        <v>305</v>
      </c>
      <c r="C146" s="224">
        <f aca="true" t="shared" si="38" ref="C146:O146">SUM(C147:C152)</f>
        <v>151807</v>
      </c>
      <c r="D146" s="224">
        <f t="shared" si="38"/>
        <v>0</v>
      </c>
      <c r="E146" s="224">
        <f t="shared" si="38"/>
        <v>0</v>
      </c>
      <c r="F146" s="224">
        <f t="shared" si="38"/>
        <v>0</v>
      </c>
      <c r="G146" s="224">
        <f t="shared" si="38"/>
        <v>0</v>
      </c>
      <c r="H146" s="224">
        <f t="shared" si="38"/>
        <v>0</v>
      </c>
      <c r="I146" s="224">
        <f t="shared" si="38"/>
        <v>0</v>
      </c>
      <c r="J146" s="224">
        <f t="shared" si="38"/>
        <v>0</v>
      </c>
      <c r="K146" s="224">
        <f t="shared" si="38"/>
        <v>0</v>
      </c>
      <c r="L146" s="224">
        <f t="shared" si="38"/>
        <v>0</v>
      </c>
      <c r="M146" s="224">
        <f t="shared" si="38"/>
        <v>0</v>
      </c>
      <c r="N146" s="224">
        <f t="shared" si="38"/>
        <v>0</v>
      </c>
      <c r="O146" s="224">
        <f t="shared" si="38"/>
        <v>2000</v>
      </c>
      <c r="P146" s="23">
        <f t="shared" si="32"/>
        <v>153807</v>
      </c>
    </row>
    <row r="147" spans="1:16" ht="15">
      <c r="A147" s="90" t="s">
        <v>306</v>
      </c>
      <c r="B147" s="109" t="s">
        <v>148</v>
      </c>
      <c r="C147" s="25">
        <v>66898</v>
      </c>
      <c r="D147" s="22"/>
      <c r="E147" s="22"/>
      <c r="F147" s="25"/>
      <c r="G147" s="22"/>
      <c r="H147" s="27"/>
      <c r="I147" s="31"/>
      <c r="J147" s="28"/>
      <c r="K147" s="29"/>
      <c r="L147" s="29"/>
      <c r="M147" s="29"/>
      <c r="N147" s="29"/>
      <c r="O147" s="30">
        <v>2000</v>
      </c>
      <c r="P147" s="23">
        <f t="shared" si="32"/>
        <v>68898</v>
      </c>
    </row>
    <row r="148" spans="1:16" ht="15">
      <c r="A148" s="90" t="s">
        <v>307</v>
      </c>
      <c r="B148" s="109" t="s">
        <v>149</v>
      </c>
      <c r="C148" s="25">
        <v>14850</v>
      </c>
      <c r="D148" s="22"/>
      <c r="E148" s="22"/>
      <c r="F148" s="25"/>
      <c r="G148" s="22"/>
      <c r="H148" s="199"/>
      <c r="I148" s="31"/>
      <c r="J148" s="31"/>
      <c r="K148" s="29"/>
      <c r="L148" s="29"/>
      <c r="M148" s="29"/>
      <c r="N148" s="29"/>
      <c r="O148" s="30"/>
      <c r="P148" s="23">
        <f t="shared" si="32"/>
        <v>14850</v>
      </c>
    </row>
    <row r="149" spans="1:16" ht="15">
      <c r="A149" s="90" t="s">
        <v>308</v>
      </c>
      <c r="B149" s="115" t="s">
        <v>150</v>
      </c>
      <c r="C149" s="25">
        <v>300</v>
      </c>
      <c r="D149" s="22"/>
      <c r="E149" s="22"/>
      <c r="F149" s="25"/>
      <c r="G149" s="22"/>
      <c r="H149" s="199"/>
      <c r="I149" s="31"/>
      <c r="J149" s="31"/>
      <c r="K149" s="29"/>
      <c r="L149" s="29"/>
      <c r="M149" s="29"/>
      <c r="N149" s="29"/>
      <c r="O149" s="30"/>
      <c r="P149" s="23">
        <f t="shared" si="32"/>
        <v>300</v>
      </c>
    </row>
    <row r="150" spans="1:16" ht="15">
      <c r="A150" s="90" t="s">
        <v>309</v>
      </c>
      <c r="B150" s="115" t="s">
        <v>222</v>
      </c>
      <c r="C150" s="25">
        <v>61531</v>
      </c>
      <c r="D150" s="22"/>
      <c r="E150" s="22"/>
      <c r="F150" s="25"/>
      <c r="G150" s="22"/>
      <c r="H150" s="199"/>
      <c r="I150" s="31"/>
      <c r="J150" s="31"/>
      <c r="K150" s="29"/>
      <c r="L150" s="29"/>
      <c r="M150" s="29"/>
      <c r="N150" s="29"/>
      <c r="O150" s="30"/>
      <c r="P150" s="23">
        <f t="shared" si="32"/>
        <v>61531</v>
      </c>
    </row>
    <row r="151" spans="1:16" ht="29.25">
      <c r="A151" s="90" t="s">
        <v>378</v>
      </c>
      <c r="B151" s="110" t="s">
        <v>382</v>
      </c>
      <c r="C151" s="25">
        <v>8228</v>
      </c>
      <c r="D151" s="22"/>
      <c r="E151" s="22"/>
      <c r="F151" s="25"/>
      <c r="G151" s="22"/>
      <c r="H151" s="199"/>
      <c r="I151" s="31"/>
      <c r="J151" s="31"/>
      <c r="K151" s="29"/>
      <c r="L151" s="29"/>
      <c r="M151" s="29"/>
      <c r="N151" s="29"/>
      <c r="O151" s="30"/>
      <c r="P151" s="23">
        <f aca="true" t="shared" si="39" ref="P151:P182">SUM(C151:O151)</f>
        <v>8228</v>
      </c>
    </row>
    <row r="152" spans="1:16" ht="15">
      <c r="A152" s="90" t="s">
        <v>415</v>
      </c>
      <c r="B152" s="110" t="s">
        <v>416</v>
      </c>
      <c r="C152" s="25"/>
      <c r="D152" s="22"/>
      <c r="E152" s="22"/>
      <c r="F152" s="25"/>
      <c r="G152" s="22"/>
      <c r="H152" s="27"/>
      <c r="I152" s="31"/>
      <c r="J152" s="31"/>
      <c r="K152" s="29"/>
      <c r="L152" s="29"/>
      <c r="M152" s="29"/>
      <c r="N152" s="29"/>
      <c r="O152" s="30"/>
      <c r="P152" s="23">
        <f t="shared" si="39"/>
        <v>0</v>
      </c>
    </row>
    <row r="153" spans="1:16" ht="15">
      <c r="A153" s="91" t="s">
        <v>310</v>
      </c>
      <c r="B153" s="32" t="s">
        <v>110</v>
      </c>
      <c r="C153" s="124">
        <v>31499</v>
      </c>
      <c r="D153" s="33"/>
      <c r="E153" s="33"/>
      <c r="F153" s="34"/>
      <c r="G153" s="33"/>
      <c r="H153" s="199"/>
      <c r="I153" s="31"/>
      <c r="J153" s="31"/>
      <c r="K153" s="29"/>
      <c r="L153" s="29"/>
      <c r="M153" s="29"/>
      <c r="N153" s="29"/>
      <c r="O153" s="30"/>
      <c r="P153" s="23">
        <f t="shared" si="39"/>
        <v>31499</v>
      </c>
    </row>
    <row r="154" spans="1:16" ht="30.75" thickBot="1">
      <c r="A154" s="91" t="s">
        <v>111</v>
      </c>
      <c r="B154" s="32" t="s">
        <v>112</v>
      </c>
      <c r="C154" s="34">
        <v>58562</v>
      </c>
      <c r="D154" s="33"/>
      <c r="E154" s="33"/>
      <c r="F154" s="34"/>
      <c r="G154" s="33"/>
      <c r="H154" s="199"/>
      <c r="I154" s="31"/>
      <c r="J154" s="28">
        <v>1828</v>
      </c>
      <c r="K154" s="29">
        <v>1439</v>
      </c>
      <c r="L154" s="29"/>
      <c r="M154" s="29"/>
      <c r="N154" s="29"/>
      <c r="O154" s="30"/>
      <c r="P154" s="23">
        <f t="shared" si="39"/>
        <v>61829</v>
      </c>
    </row>
    <row r="155" spans="1:16" ht="15.75" thickBot="1">
      <c r="A155" s="125" t="s">
        <v>113</v>
      </c>
      <c r="B155" s="111" t="s">
        <v>0</v>
      </c>
      <c r="C155" s="86">
        <f aca="true" t="shared" si="40" ref="C155:O155">C156+C167+C168+C179+C186+C189+C190+C191</f>
        <v>8248472</v>
      </c>
      <c r="D155" s="86">
        <f t="shared" si="40"/>
        <v>0</v>
      </c>
      <c r="E155" s="86">
        <f t="shared" si="40"/>
        <v>0</v>
      </c>
      <c r="F155" s="86">
        <f t="shared" si="40"/>
        <v>0</v>
      </c>
      <c r="G155" s="86">
        <f t="shared" si="40"/>
        <v>0</v>
      </c>
      <c r="H155" s="86">
        <f t="shared" si="40"/>
        <v>909413</v>
      </c>
      <c r="I155" s="86">
        <f t="shared" si="40"/>
        <v>104789</v>
      </c>
      <c r="J155" s="86">
        <f t="shared" si="40"/>
        <v>270815</v>
      </c>
      <c r="K155" s="86">
        <f t="shared" si="40"/>
        <v>708627</v>
      </c>
      <c r="L155" s="86">
        <f t="shared" si="40"/>
        <v>79860</v>
      </c>
      <c r="M155" s="86">
        <f t="shared" si="40"/>
        <v>68048</v>
      </c>
      <c r="N155" s="86">
        <f t="shared" si="40"/>
        <v>38486</v>
      </c>
      <c r="O155" s="86">
        <f t="shared" si="40"/>
        <v>258791</v>
      </c>
      <c r="P155" s="87">
        <f t="shared" si="39"/>
        <v>10687301</v>
      </c>
    </row>
    <row r="156" spans="1:16" ht="15">
      <c r="A156" s="88" t="s">
        <v>114</v>
      </c>
      <c r="B156" s="16" t="s">
        <v>311</v>
      </c>
      <c r="C156" s="18">
        <f>SUM(C157:C166)</f>
        <v>2530210</v>
      </c>
      <c r="D156" s="18">
        <f>SUM(D157:D166)</f>
        <v>0</v>
      </c>
      <c r="E156" s="18">
        <f>SUM(E157:E166)</f>
        <v>0</v>
      </c>
      <c r="F156" s="18">
        <f>SUM(F157:F166)</f>
        <v>0</v>
      </c>
      <c r="G156" s="17"/>
      <c r="H156" s="172">
        <f aca="true" t="shared" si="41" ref="H156:O156">SUM(H157:H166)</f>
        <v>0</v>
      </c>
      <c r="I156" s="17">
        <f t="shared" si="41"/>
        <v>0</v>
      </c>
      <c r="J156" s="17">
        <f t="shared" si="41"/>
        <v>85437</v>
      </c>
      <c r="K156" s="18">
        <f t="shared" si="41"/>
        <v>179639</v>
      </c>
      <c r="L156" s="18">
        <f t="shared" si="41"/>
        <v>0</v>
      </c>
      <c r="M156" s="18">
        <f t="shared" si="41"/>
        <v>0</v>
      </c>
      <c r="N156" s="18">
        <f t="shared" si="41"/>
        <v>0</v>
      </c>
      <c r="O156" s="18">
        <f t="shared" si="41"/>
        <v>0</v>
      </c>
      <c r="P156" s="164">
        <f t="shared" si="39"/>
        <v>2795286</v>
      </c>
    </row>
    <row r="157" spans="1:16" ht="15">
      <c r="A157" s="90" t="s">
        <v>312</v>
      </c>
      <c r="B157" s="126" t="s">
        <v>115</v>
      </c>
      <c r="C157" s="22">
        <v>200672</v>
      </c>
      <c r="D157" s="22"/>
      <c r="E157" s="22"/>
      <c r="F157" s="25"/>
      <c r="G157" s="22"/>
      <c r="H157" s="199"/>
      <c r="I157" s="31"/>
      <c r="J157" s="31"/>
      <c r="K157" s="29"/>
      <c r="L157" s="29"/>
      <c r="M157" s="29"/>
      <c r="N157" s="29"/>
      <c r="O157" s="30"/>
      <c r="P157" s="23">
        <f t="shared" si="39"/>
        <v>200672</v>
      </c>
    </row>
    <row r="158" spans="1:16" ht="15">
      <c r="A158" s="90" t="s">
        <v>313</v>
      </c>
      <c r="B158" s="126" t="s">
        <v>116</v>
      </c>
      <c r="C158" s="25">
        <v>356275</v>
      </c>
      <c r="D158" s="22"/>
      <c r="E158" s="22"/>
      <c r="F158" s="25"/>
      <c r="G158" s="22"/>
      <c r="H158" s="199"/>
      <c r="I158" s="31"/>
      <c r="J158" s="31"/>
      <c r="K158" s="29"/>
      <c r="L158" s="29"/>
      <c r="M158" s="29"/>
      <c r="N158" s="29"/>
      <c r="O158" s="30"/>
      <c r="P158" s="23">
        <f t="shared" si="39"/>
        <v>356275</v>
      </c>
    </row>
    <row r="159" spans="1:16" ht="15">
      <c r="A159" s="90" t="s">
        <v>314</v>
      </c>
      <c r="B159" s="126" t="s">
        <v>117</v>
      </c>
      <c r="C159" s="25">
        <v>342941</v>
      </c>
      <c r="D159" s="22"/>
      <c r="E159" s="22"/>
      <c r="F159" s="25"/>
      <c r="G159" s="22"/>
      <c r="H159" s="199"/>
      <c r="I159" s="31"/>
      <c r="J159" s="31"/>
      <c r="K159" s="29"/>
      <c r="L159" s="29"/>
      <c r="M159" s="29"/>
      <c r="N159" s="29"/>
      <c r="O159" s="30"/>
      <c r="P159" s="23">
        <f t="shared" si="39"/>
        <v>342941</v>
      </c>
    </row>
    <row r="160" spans="1:16" ht="15">
      <c r="A160" s="90" t="s">
        <v>315</v>
      </c>
      <c r="B160" s="126" t="s">
        <v>118</v>
      </c>
      <c r="C160" s="25">
        <v>395595</v>
      </c>
      <c r="D160" s="22"/>
      <c r="E160" s="22"/>
      <c r="F160" s="25"/>
      <c r="G160" s="22"/>
      <c r="H160" s="199"/>
      <c r="I160" s="31"/>
      <c r="J160" s="31"/>
      <c r="K160" s="29"/>
      <c r="L160" s="29"/>
      <c r="M160" s="29"/>
      <c r="N160" s="29"/>
      <c r="O160" s="30"/>
      <c r="P160" s="23">
        <f t="shared" si="39"/>
        <v>395595</v>
      </c>
    </row>
    <row r="161" spans="1:16" ht="15">
      <c r="A161" s="90" t="s">
        <v>316</v>
      </c>
      <c r="B161" s="126" t="s">
        <v>119</v>
      </c>
      <c r="C161" s="25">
        <v>413401</v>
      </c>
      <c r="D161" s="22"/>
      <c r="E161" s="22"/>
      <c r="F161" s="25"/>
      <c r="G161" s="22"/>
      <c r="H161" s="199"/>
      <c r="I161" s="31"/>
      <c r="J161" s="28">
        <v>85437</v>
      </c>
      <c r="K161" s="29"/>
      <c r="L161" s="29"/>
      <c r="M161" s="29"/>
      <c r="N161" s="29"/>
      <c r="O161" s="30"/>
      <c r="P161" s="23">
        <f t="shared" si="39"/>
        <v>498838</v>
      </c>
    </row>
    <row r="162" spans="1:16" ht="15">
      <c r="A162" s="90" t="s">
        <v>317</v>
      </c>
      <c r="B162" s="126" t="s">
        <v>120</v>
      </c>
      <c r="C162" s="25">
        <f>223085+2200</f>
        <v>225285</v>
      </c>
      <c r="D162" s="22"/>
      <c r="E162" s="22"/>
      <c r="F162" s="25"/>
      <c r="G162" s="22"/>
      <c r="H162" s="199"/>
      <c r="I162" s="31"/>
      <c r="J162" s="31"/>
      <c r="K162" s="29"/>
      <c r="L162" s="29"/>
      <c r="M162" s="29"/>
      <c r="N162" s="29"/>
      <c r="O162" s="30"/>
      <c r="P162" s="23">
        <f t="shared" si="39"/>
        <v>225285</v>
      </c>
    </row>
    <row r="163" spans="1:16" ht="15">
      <c r="A163" s="90" t="s">
        <v>318</v>
      </c>
      <c r="B163" s="126" t="s">
        <v>151</v>
      </c>
      <c r="C163" s="25">
        <v>338153</v>
      </c>
      <c r="D163" s="22"/>
      <c r="E163" s="22"/>
      <c r="F163" s="25"/>
      <c r="G163" s="22"/>
      <c r="H163" s="199"/>
      <c r="I163" s="31"/>
      <c r="J163" s="31"/>
      <c r="K163" s="29"/>
      <c r="L163" s="29"/>
      <c r="M163" s="29"/>
      <c r="N163" s="29"/>
      <c r="O163" s="30"/>
      <c r="P163" s="23">
        <f t="shared" si="39"/>
        <v>338153</v>
      </c>
    </row>
    <row r="164" spans="1:16" ht="15">
      <c r="A164" s="90" t="s">
        <v>319</v>
      </c>
      <c r="B164" s="126" t="s">
        <v>185</v>
      </c>
      <c r="C164" s="25">
        <v>236888</v>
      </c>
      <c r="D164" s="25"/>
      <c r="E164" s="25"/>
      <c r="F164" s="25"/>
      <c r="G164" s="22"/>
      <c r="H164" s="225"/>
      <c r="I164" s="31"/>
      <c r="J164" s="28"/>
      <c r="K164" s="30"/>
      <c r="L164" s="30"/>
      <c r="M164" s="30"/>
      <c r="N164" s="30"/>
      <c r="O164" s="30"/>
      <c r="P164" s="23">
        <f t="shared" si="39"/>
        <v>236888</v>
      </c>
    </row>
    <row r="165" spans="1:16" ht="15">
      <c r="A165" s="90" t="s">
        <v>320</v>
      </c>
      <c r="B165" s="126" t="s">
        <v>186</v>
      </c>
      <c r="C165" s="25"/>
      <c r="D165" s="25"/>
      <c r="E165" s="25"/>
      <c r="F165" s="25"/>
      <c r="G165" s="22"/>
      <c r="H165" s="225"/>
      <c r="I165" s="31"/>
      <c r="J165" s="31"/>
      <c r="K165" s="226">
        <v>179639</v>
      </c>
      <c r="L165" s="30"/>
      <c r="M165" s="30"/>
      <c r="N165" s="30"/>
      <c r="O165" s="30"/>
      <c r="P165" s="23">
        <f t="shared" si="39"/>
        <v>179639</v>
      </c>
    </row>
    <row r="166" spans="1:16" ht="29.25">
      <c r="A166" s="90" t="s">
        <v>321</v>
      </c>
      <c r="B166" s="126" t="s">
        <v>322</v>
      </c>
      <c r="C166" s="25">
        <v>21000</v>
      </c>
      <c r="D166" s="25"/>
      <c r="E166" s="25"/>
      <c r="F166" s="25"/>
      <c r="G166" s="22"/>
      <c r="H166" s="225"/>
      <c r="I166" s="31"/>
      <c r="J166" s="31"/>
      <c r="K166" s="30"/>
      <c r="L166" s="30"/>
      <c r="M166" s="30"/>
      <c r="N166" s="30"/>
      <c r="O166" s="178"/>
      <c r="P166" s="23">
        <f t="shared" si="39"/>
        <v>21000</v>
      </c>
    </row>
    <row r="167" spans="1:16" ht="15">
      <c r="A167" s="91" t="s">
        <v>121</v>
      </c>
      <c r="B167" s="227" t="s">
        <v>323</v>
      </c>
      <c r="C167" s="25">
        <v>577863</v>
      </c>
      <c r="D167" s="25"/>
      <c r="E167" s="25"/>
      <c r="F167" s="25"/>
      <c r="G167" s="22"/>
      <c r="H167" s="228"/>
      <c r="I167" s="189"/>
      <c r="J167" s="189"/>
      <c r="K167" s="30"/>
      <c r="L167" s="30"/>
      <c r="M167" s="30"/>
      <c r="N167" s="30"/>
      <c r="O167" s="30"/>
      <c r="P167" s="23">
        <f t="shared" si="39"/>
        <v>577863</v>
      </c>
    </row>
    <row r="168" spans="1:16" ht="30">
      <c r="A168" s="91" t="s">
        <v>189</v>
      </c>
      <c r="B168" s="32" t="s">
        <v>324</v>
      </c>
      <c r="C168" s="34">
        <f aca="true" t="shared" si="42" ref="C168:O168">SUM(C169:C178)</f>
        <v>3347278</v>
      </c>
      <c r="D168" s="34">
        <f t="shared" si="42"/>
        <v>0</v>
      </c>
      <c r="E168" s="34">
        <f t="shared" si="42"/>
        <v>0</v>
      </c>
      <c r="F168" s="34">
        <f t="shared" si="42"/>
        <v>0</v>
      </c>
      <c r="G168" s="33">
        <f t="shared" si="42"/>
        <v>0</v>
      </c>
      <c r="H168" s="42">
        <f t="shared" si="42"/>
        <v>899223</v>
      </c>
      <c r="I168" s="34">
        <f t="shared" si="42"/>
        <v>104789</v>
      </c>
      <c r="J168" s="34">
        <f t="shared" si="42"/>
        <v>174944</v>
      </c>
      <c r="K168" s="34">
        <f t="shared" si="42"/>
        <v>371654</v>
      </c>
      <c r="L168" s="34">
        <f t="shared" si="42"/>
        <v>65782</v>
      </c>
      <c r="M168" s="34">
        <f t="shared" si="42"/>
        <v>56037</v>
      </c>
      <c r="N168" s="34">
        <f t="shared" si="42"/>
        <v>30732</v>
      </c>
      <c r="O168" s="34">
        <f t="shared" si="42"/>
        <v>249687</v>
      </c>
      <c r="P168" s="23">
        <f t="shared" si="39"/>
        <v>5300126</v>
      </c>
    </row>
    <row r="169" spans="1:16" ht="15">
      <c r="A169" s="90" t="s">
        <v>325</v>
      </c>
      <c r="B169" s="126" t="s">
        <v>122</v>
      </c>
      <c r="C169" s="25">
        <f>1365931+5468+4000</f>
        <v>1375399</v>
      </c>
      <c r="D169" s="22"/>
      <c r="E169" s="22"/>
      <c r="F169" s="25"/>
      <c r="G169" s="22"/>
      <c r="H169" s="199"/>
      <c r="I169" s="31"/>
      <c r="J169" s="31"/>
      <c r="K169" s="29"/>
      <c r="L169" s="29"/>
      <c r="M169" s="29"/>
      <c r="N169" s="29"/>
      <c r="O169" s="30"/>
      <c r="P169" s="23">
        <f t="shared" si="39"/>
        <v>1375399</v>
      </c>
    </row>
    <row r="170" spans="1:16" ht="15">
      <c r="A170" s="90" t="s">
        <v>326</v>
      </c>
      <c r="B170" s="126" t="s">
        <v>327</v>
      </c>
      <c r="C170" s="25">
        <v>922793</v>
      </c>
      <c r="D170" s="22"/>
      <c r="E170" s="22"/>
      <c r="F170" s="25"/>
      <c r="G170" s="22"/>
      <c r="H170" s="199"/>
      <c r="I170" s="31"/>
      <c r="J170" s="31"/>
      <c r="K170" s="29"/>
      <c r="L170" s="29"/>
      <c r="M170" s="29"/>
      <c r="N170" s="29"/>
      <c r="O170" s="30"/>
      <c r="P170" s="23">
        <f t="shared" si="39"/>
        <v>922793</v>
      </c>
    </row>
    <row r="171" spans="1:16" ht="15">
      <c r="A171" s="90" t="s">
        <v>328</v>
      </c>
      <c r="B171" s="126" t="s">
        <v>123</v>
      </c>
      <c r="C171" s="25">
        <f>779388</f>
        <v>779388</v>
      </c>
      <c r="D171" s="22"/>
      <c r="E171" s="22"/>
      <c r="F171" s="25"/>
      <c r="G171" s="22"/>
      <c r="H171" s="199"/>
      <c r="I171" s="31"/>
      <c r="J171" s="31"/>
      <c r="K171" s="29"/>
      <c r="L171" s="29"/>
      <c r="M171" s="29"/>
      <c r="N171" s="29"/>
      <c r="O171" s="30"/>
      <c r="P171" s="23">
        <f t="shared" si="39"/>
        <v>779388</v>
      </c>
    </row>
    <row r="172" spans="1:16" ht="15">
      <c r="A172" s="90" t="s">
        <v>329</v>
      </c>
      <c r="B172" s="21" t="s">
        <v>124</v>
      </c>
      <c r="C172" s="25">
        <v>269698</v>
      </c>
      <c r="D172" s="22"/>
      <c r="E172" s="22"/>
      <c r="F172" s="25"/>
      <c r="G172" s="22"/>
      <c r="H172" s="199"/>
      <c r="I172" s="31"/>
      <c r="J172" s="31"/>
      <c r="K172" s="29"/>
      <c r="L172" s="29"/>
      <c r="M172" s="29"/>
      <c r="N172" s="29"/>
      <c r="O172" s="30"/>
      <c r="P172" s="23">
        <f t="shared" si="39"/>
        <v>269698</v>
      </c>
    </row>
    <row r="173" spans="1:16" ht="15">
      <c r="A173" s="90" t="s">
        <v>330</v>
      </c>
      <c r="B173" s="21" t="s">
        <v>187</v>
      </c>
      <c r="C173" s="25"/>
      <c r="D173" s="22"/>
      <c r="E173" s="22"/>
      <c r="F173" s="25"/>
      <c r="G173" s="22"/>
      <c r="H173" s="225"/>
      <c r="I173" s="31"/>
      <c r="J173" s="28">
        <v>174944</v>
      </c>
      <c r="K173" s="30"/>
      <c r="L173" s="30"/>
      <c r="M173" s="30"/>
      <c r="N173" s="30"/>
      <c r="O173" s="30"/>
      <c r="P173" s="23">
        <f t="shared" si="39"/>
        <v>174944</v>
      </c>
    </row>
    <row r="174" spans="1:16" ht="15">
      <c r="A174" s="90" t="s">
        <v>331</v>
      </c>
      <c r="B174" s="21" t="s">
        <v>188</v>
      </c>
      <c r="C174" s="25"/>
      <c r="D174" s="22"/>
      <c r="E174" s="22"/>
      <c r="F174" s="25"/>
      <c r="G174" s="22"/>
      <c r="H174" s="225"/>
      <c r="I174" s="31"/>
      <c r="J174" s="28"/>
      <c r="K174" s="29">
        <v>371654</v>
      </c>
      <c r="L174" s="30">
        <v>65782</v>
      </c>
      <c r="M174" s="30"/>
      <c r="N174" s="30"/>
      <c r="O174" s="30"/>
      <c r="P174" s="23">
        <f t="shared" si="39"/>
        <v>437436</v>
      </c>
    </row>
    <row r="175" spans="1:16" ht="15">
      <c r="A175" s="90" t="s">
        <v>332</v>
      </c>
      <c r="B175" s="21" t="s">
        <v>190</v>
      </c>
      <c r="C175" s="25"/>
      <c r="D175" s="22"/>
      <c r="E175" s="22"/>
      <c r="F175" s="25"/>
      <c r="G175" s="22"/>
      <c r="H175" s="225"/>
      <c r="I175" s="31"/>
      <c r="J175" s="28"/>
      <c r="K175" s="30"/>
      <c r="L175" s="30"/>
      <c r="M175" s="30">
        <v>56037</v>
      </c>
      <c r="N175" s="30">
        <v>30732</v>
      </c>
      <c r="O175" s="29">
        <v>249687</v>
      </c>
      <c r="P175" s="23">
        <f t="shared" si="39"/>
        <v>336456</v>
      </c>
    </row>
    <row r="176" spans="1:16" ht="15">
      <c r="A176" s="90" t="s">
        <v>333</v>
      </c>
      <c r="B176" s="21" t="s">
        <v>191</v>
      </c>
      <c r="C176" s="25"/>
      <c r="D176" s="22"/>
      <c r="E176" s="22"/>
      <c r="F176" s="25"/>
      <c r="G176" s="22"/>
      <c r="H176" s="195">
        <v>566749</v>
      </c>
      <c r="I176" s="31"/>
      <c r="J176" s="28"/>
      <c r="K176" s="30"/>
      <c r="L176" s="30"/>
      <c r="M176" s="30"/>
      <c r="N176" s="30"/>
      <c r="O176" s="30"/>
      <c r="P176" s="23">
        <f t="shared" si="39"/>
        <v>566749</v>
      </c>
    </row>
    <row r="177" spans="1:16" ht="15">
      <c r="A177" s="90" t="s">
        <v>334</v>
      </c>
      <c r="B177" s="21" t="s">
        <v>192</v>
      </c>
      <c r="C177" s="25"/>
      <c r="D177" s="22"/>
      <c r="E177" s="22"/>
      <c r="F177" s="25"/>
      <c r="G177" s="22"/>
      <c r="H177" s="127"/>
      <c r="I177" s="28">
        <f>101520+3269</f>
        <v>104789</v>
      </c>
      <c r="J177" s="28"/>
      <c r="K177" s="30"/>
      <c r="L177" s="30"/>
      <c r="M177" s="30"/>
      <c r="N177" s="30"/>
      <c r="O177" s="30"/>
      <c r="P177" s="23">
        <f t="shared" si="39"/>
        <v>104789</v>
      </c>
    </row>
    <row r="178" spans="1:16" ht="15">
      <c r="A178" s="90" t="s">
        <v>335</v>
      </c>
      <c r="B178" s="21" t="s">
        <v>193</v>
      </c>
      <c r="C178" s="25"/>
      <c r="D178" s="25"/>
      <c r="E178" s="25"/>
      <c r="F178" s="25"/>
      <c r="G178" s="22"/>
      <c r="H178" s="195">
        <v>332474</v>
      </c>
      <c r="I178" s="28"/>
      <c r="J178" s="28"/>
      <c r="K178" s="30"/>
      <c r="L178" s="30"/>
      <c r="M178" s="30"/>
      <c r="N178" s="30"/>
      <c r="O178" s="30"/>
      <c r="P178" s="23">
        <f t="shared" si="39"/>
        <v>332474</v>
      </c>
    </row>
    <row r="179" spans="1:16" ht="30">
      <c r="A179" s="91" t="s">
        <v>125</v>
      </c>
      <c r="B179" s="32" t="s">
        <v>126</v>
      </c>
      <c r="C179" s="34">
        <f aca="true" t="shared" si="43" ref="C179:O179">SUM(C180:C185)</f>
        <v>1209998</v>
      </c>
      <c r="D179" s="34">
        <f t="shared" si="43"/>
        <v>0</v>
      </c>
      <c r="E179" s="34">
        <f t="shared" si="43"/>
        <v>0</v>
      </c>
      <c r="F179" s="34">
        <f t="shared" si="43"/>
        <v>0</v>
      </c>
      <c r="G179" s="33">
        <f t="shared" si="43"/>
        <v>0</v>
      </c>
      <c r="H179" s="42">
        <f t="shared" si="43"/>
        <v>0</v>
      </c>
      <c r="I179" s="34">
        <f t="shared" si="43"/>
        <v>0</v>
      </c>
      <c r="J179" s="34">
        <f t="shared" si="43"/>
        <v>0</v>
      </c>
      <c r="K179" s="34">
        <f t="shared" si="43"/>
        <v>90102</v>
      </c>
      <c r="L179" s="34">
        <f t="shared" si="43"/>
        <v>0</v>
      </c>
      <c r="M179" s="34">
        <f t="shared" si="43"/>
        <v>0</v>
      </c>
      <c r="N179" s="34">
        <f t="shared" si="43"/>
        <v>0</v>
      </c>
      <c r="O179" s="34">
        <f t="shared" si="43"/>
        <v>0</v>
      </c>
      <c r="P179" s="23">
        <f t="shared" si="39"/>
        <v>1300100</v>
      </c>
    </row>
    <row r="180" spans="1:16" ht="15">
      <c r="A180" s="90" t="s">
        <v>336</v>
      </c>
      <c r="B180" s="21" t="s">
        <v>8</v>
      </c>
      <c r="C180" s="25">
        <v>341709</v>
      </c>
      <c r="D180" s="22"/>
      <c r="E180" s="22"/>
      <c r="F180" s="25"/>
      <c r="G180" s="22"/>
      <c r="H180" s="199"/>
      <c r="I180" s="31"/>
      <c r="J180" s="31"/>
      <c r="K180" s="29"/>
      <c r="L180" s="29"/>
      <c r="M180" s="29"/>
      <c r="N180" s="29"/>
      <c r="O180" s="30"/>
      <c r="P180" s="23">
        <f t="shared" si="39"/>
        <v>341709</v>
      </c>
    </row>
    <row r="181" spans="1:16" ht="15">
      <c r="A181" s="90" t="s">
        <v>337</v>
      </c>
      <c r="B181" s="21" t="s">
        <v>140</v>
      </c>
      <c r="C181" s="25">
        <v>135272</v>
      </c>
      <c r="D181" s="22"/>
      <c r="E181" s="22"/>
      <c r="F181" s="25"/>
      <c r="G181" s="22"/>
      <c r="H181" s="199"/>
      <c r="I181" s="31"/>
      <c r="J181" s="31"/>
      <c r="K181" s="29"/>
      <c r="L181" s="29"/>
      <c r="M181" s="29"/>
      <c r="N181" s="29"/>
      <c r="O181" s="30"/>
      <c r="P181" s="23">
        <f t="shared" si="39"/>
        <v>135272</v>
      </c>
    </row>
    <row r="182" spans="1:16" ht="15">
      <c r="A182" s="90" t="s">
        <v>338</v>
      </c>
      <c r="B182" s="21" t="s">
        <v>127</v>
      </c>
      <c r="C182" s="25">
        <v>393272</v>
      </c>
      <c r="D182" s="22"/>
      <c r="E182" s="22"/>
      <c r="F182" s="25"/>
      <c r="G182" s="22"/>
      <c r="H182" s="199"/>
      <c r="I182" s="31"/>
      <c r="J182" s="31"/>
      <c r="K182" s="29"/>
      <c r="L182" s="29"/>
      <c r="M182" s="29"/>
      <c r="N182" s="29"/>
      <c r="O182" s="30"/>
      <c r="P182" s="23">
        <f t="shared" si="39"/>
        <v>393272</v>
      </c>
    </row>
    <row r="183" spans="1:16" ht="15">
      <c r="A183" s="90" t="s">
        <v>339</v>
      </c>
      <c r="B183" s="21" t="s">
        <v>128</v>
      </c>
      <c r="C183" s="25">
        <v>268701</v>
      </c>
      <c r="D183" s="22"/>
      <c r="E183" s="22"/>
      <c r="F183" s="25"/>
      <c r="G183" s="22"/>
      <c r="H183" s="27"/>
      <c r="I183" s="31"/>
      <c r="J183" s="31"/>
      <c r="K183" s="29"/>
      <c r="L183" s="29"/>
      <c r="M183" s="29"/>
      <c r="N183" s="29"/>
      <c r="O183" s="30"/>
      <c r="P183" s="23">
        <f aca="true" t="shared" si="44" ref="P183:P193">SUM(C183:O183)</f>
        <v>268701</v>
      </c>
    </row>
    <row r="184" spans="1:16" ht="15">
      <c r="A184" s="90" t="s">
        <v>340</v>
      </c>
      <c r="B184" s="21" t="s">
        <v>129</v>
      </c>
      <c r="C184" s="22">
        <v>71044</v>
      </c>
      <c r="D184" s="22"/>
      <c r="E184" s="22"/>
      <c r="F184" s="22"/>
      <c r="G184" s="22"/>
      <c r="H184" s="199"/>
      <c r="I184" s="31"/>
      <c r="J184" s="31"/>
      <c r="K184" s="29"/>
      <c r="L184" s="29"/>
      <c r="M184" s="29"/>
      <c r="N184" s="29"/>
      <c r="O184" s="30"/>
      <c r="P184" s="23">
        <f t="shared" si="44"/>
        <v>71044</v>
      </c>
    </row>
    <row r="185" spans="1:16" ht="15">
      <c r="A185" s="90" t="s">
        <v>341</v>
      </c>
      <c r="B185" s="21" t="s">
        <v>194</v>
      </c>
      <c r="C185" s="22"/>
      <c r="D185" s="22"/>
      <c r="E185" s="22"/>
      <c r="F185" s="22"/>
      <c r="G185" s="22"/>
      <c r="H185" s="199"/>
      <c r="I185" s="31"/>
      <c r="J185" s="31"/>
      <c r="K185" s="226">
        <v>90102</v>
      </c>
      <c r="L185" s="29"/>
      <c r="M185" s="29"/>
      <c r="N185" s="29"/>
      <c r="O185" s="30"/>
      <c r="P185" s="23">
        <f t="shared" si="44"/>
        <v>90102</v>
      </c>
    </row>
    <row r="186" spans="1:16" s="80" customFormat="1" ht="30">
      <c r="A186" s="91" t="s">
        <v>195</v>
      </c>
      <c r="B186" s="93" t="s">
        <v>196</v>
      </c>
      <c r="C186" s="33">
        <f aca="true" t="shared" si="45" ref="C186:O186">SUM(C187:C188)</f>
        <v>0</v>
      </c>
      <c r="D186" s="33">
        <f t="shared" si="45"/>
        <v>0</v>
      </c>
      <c r="E186" s="33">
        <f t="shared" si="45"/>
        <v>0</v>
      </c>
      <c r="F186" s="33">
        <f t="shared" si="45"/>
        <v>0</v>
      </c>
      <c r="G186" s="33">
        <f t="shared" si="45"/>
        <v>0</v>
      </c>
      <c r="H186" s="43">
        <f t="shared" si="45"/>
        <v>0</v>
      </c>
      <c r="I186" s="33">
        <f t="shared" si="45"/>
        <v>0</v>
      </c>
      <c r="J186" s="33">
        <f t="shared" si="45"/>
        <v>0</v>
      </c>
      <c r="K186" s="33">
        <f t="shared" si="45"/>
        <v>0</v>
      </c>
      <c r="L186" s="33">
        <f t="shared" si="45"/>
        <v>0</v>
      </c>
      <c r="M186" s="33">
        <f t="shared" si="45"/>
        <v>0</v>
      </c>
      <c r="N186" s="33">
        <f t="shared" si="45"/>
        <v>0</v>
      </c>
      <c r="O186" s="33">
        <f t="shared" si="45"/>
        <v>0</v>
      </c>
      <c r="P186" s="23">
        <f t="shared" si="44"/>
        <v>0</v>
      </c>
    </row>
    <row r="187" spans="1:16" ht="26.25">
      <c r="A187" s="90" t="s">
        <v>342</v>
      </c>
      <c r="B187" s="1" t="s">
        <v>197</v>
      </c>
      <c r="C187" s="22"/>
      <c r="D187" s="22"/>
      <c r="E187" s="22"/>
      <c r="F187" s="22"/>
      <c r="G187" s="22"/>
      <c r="H187" s="199"/>
      <c r="I187" s="31"/>
      <c r="J187" s="31"/>
      <c r="K187" s="29"/>
      <c r="L187" s="29"/>
      <c r="M187" s="29"/>
      <c r="N187" s="29"/>
      <c r="O187" s="30"/>
      <c r="P187" s="23">
        <f t="shared" si="44"/>
        <v>0</v>
      </c>
    </row>
    <row r="188" spans="1:16" ht="15">
      <c r="A188" s="90" t="s">
        <v>343</v>
      </c>
      <c r="B188" s="109"/>
      <c r="C188" s="22"/>
      <c r="D188" s="22"/>
      <c r="E188" s="22"/>
      <c r="F188" s="22"/>
      <c r="G188" s="22"/>
      <c r="H188" s="199"/>
      <c r="I188" s="31"/>
      <c r="J188" s="31"/>
      <c r="K188" s="29"/>
      <c r="L188" s="29"/>
      <c r="M188" s="29"/>
      <c r="N188" s="29"/>
      <c r="O188" s="30"/>
      <c r="P188" s="23">
        <f t="shared" si="44"/>
        <v>0</v>
      </c>
    </row>
    <row r="189" spans="1:16" ht="15">
      <c r="A189" s="104" t="s">
        <v>198</v>
      </c>
      <c r="B189" s="32" t="s">
        <v>199</v>
      </c>
      <c r="C189" s="33">
        <v>68400</v>
      </c>
      <c r="D189" s="22"/>
      <c r="E189" s="22"/>
      <c r="F189" s="22"/>
      <c r="G189" s="22"/>
      <c r="H189" s="199"/>
      <c r="I189" s="31"/>
      <c r="J189" s="31"/>
      <c r="K189" s="128">
        <v>60546</v>
      </c>
      <c r="L189" s="29"/>
      <c r="M189" s="29"/>
      <c r="N189" s="29"/>
      <c r="O189" s="30"/>
      <c r="P189" s="23">
        <f t="shared" si="44"/>
        <v>128946</v>
      </c>
    </row>
    <row r="190" spans="1:16" ht="30">
      <c r="A190" s="91" t="s">
        <v>200</v>
      </c>
      <c r="B190" s="32" t="s">
        <v>344</v>
      </c>
      <c r="C190" s="34">
        <v>206273</v>
      </c>
      <c r="D190" s="34"/>
      <c r="E190" s="34"/>
      <c r="F190" s="34"/>
      <c r="G190" s="33"/>
      <c r="H190" s="229"/>
      <c r="I190" s="129"/>
      <c r="J190" s="129"/>
      <c r="K190" s="130"/>
      <c r="L190" s="130"/>
      <c r="M190" s="130"/>
      <c r="N190" s="130"/>
      <c r="O190" s="130"/>
      <c r="P190" s="23">
        <f t="shared" si="44"/>
        <v>206273</v>
      </c>
    </row>
    <row r="191" spans="1:16" ht="30.75" customHeight="1" thickBot="1">
      <c r="A191" s="131" t="s">
        <v>130</v>
      </c>
      <c r="B191" s="132" t="s">
        <v>345</v>
      </c>
      <c r="C191" s="133">
        <f>SUM(C192:C200)</f>
        <v>308450</v>
      </c>
      <c r="D191" s="133">
        <f aca="true" t="shared" si="46" ref="D191:O191">SUM(D192:D200)</f>
        <v>0</v>
      </c>
      <c r="E191" s="133">
        <f t="shared" si="46"/>
        <v>0</v>
      </c>
      <c r="F191" s="133">
        <f t="shared" si="46"/>
        <v>0</v>
      </c>
      <c r="G191" s="133">
        <f t="shared" si="46"/>
        <v>0</v>
      </c>
      <c r="H191" s="133">
        <f t="shared" si="46"/>
        <v>10190</v>
      </c>
      <c r="I191" s="133">
        <f t="shared" si="46"/>
        <v>0</v>
      </c>
      <c r="J191" s="133">
        <f t="shared" si="46"/>
        <v>10434</v>
      </c>
      <c r="K191" s="133">
        <f t="shared" si="46"/>
        <v>6686</v>
      </c>
      <c r="L191" s="133">
        <f t="shared" si="46"/>
        <v>14078</v>
      </c>
      <c r="M191" s="133">
        <f t="shared" si="46"/>
        <v>12011</v>
      </c>
      <c r="N191" s="133">
        <f t="shared" si="46"/>
        <v>7754</v>
      </c>
      <c r="O191" s="133">
        <f t="shared" si="46"/>
        <v>9104</v>
      </c>
      <c r="P191" s="230">
        <f t="shared" si="44"/>
        <v>378707</v>
      </c>
    </row>
    <row r="192" spans="1:16" ht="29.25">
      <c r="A192" s="135" t="s">
        <v>346</v>
      </c>
      <c r="B192" s="120" t="s">
        <v>433</v>
      </c>
      <c r="C192" s="89">
        <v>6928</v>
      </c>
      <c r="D192" s="60"/>
      <c r="E192" s="60"/>
      <c r="F192" s="89"/>
      <c r="G192" s="60"/>
      <c r="H192" s="231"/>
      <c r="I192" s="62"/>
      <c r="J192" s="62"/>
      <c r="K192" s="63"/>
      <c r="L192" s="63"/>
      <c r="M192" s="63"/>
      <c r="N192" s="63"/>
      <c r="O192" s="64"/>
      <c r="P192" s="118">
        <f>SUM(C192:O192)</f>
        <v>6928</v>
      </c>
    </row>
    <row r="193" spans="1:16" ht="15">
      <c r="A193" s="135" t="s">
        <v>347</v>
      </c>
      <c r="B193" s="21" t="s">
        <v>348</v>
      </c>
      <c r="C193" s="25">
        <v>2952</v>
      </c>
      <c r="D193" s="22"/>
      <c r="E193" s="22"/>
      <c r="F193" s="25"/>
      <c r="G193" s="22"/>
      <c r="H193" s="199"/>
      <c r="I193" s="31"/>
      <c r="J193" s="31"/>
      <c r="K193" s="29"/>
      <c r="L193" s="29"/>
      <c r="M193" s="29"/>
      <c r="N193" s="29"/>
      <c r="O193" s="30"/>
      <c r="P193" s="23">
        <f t="shared" si="44"/>
        <v>2952</v>
      </c>
    </row>
    <row r="194" spans="1:16" ht="15">
      <c r="A194" s="135" t="s">
        <v>349</v>
      </c>
      <c r="B194" s="232" t="s">
        <v>226</v>
      </c>
      <c r="C194" s="25"/>
      <c r="D194" s="22"/>
      <c r="E194" s="22"/>
      <c r="F194" s="25"/>
      <c r="G194" s="22"/>
      <c r="H194" s="199"/>
      <c r="I194" s="31"/>
      <c r="J194" s="31"/>
      <c r="K194" s="29"/>
      <c r="L194" s="29">
        <v>14078</v>
      </c>
      <c r="M194" s="29">
        <v>12011</v>
      </c>
      <c r="N194" s="29"/>
      <c r="O194" s="30"/>
      <c r="P194" s="23">
        <f aca="true" t="shared" si="47" ref="P194:P225">SUM(C194:O194)</f>
        <v>26089</v>
      </c>
    </row>
    <row r="195" spans="1:16" ht="15">
      <c r="A195" s="135" t="s">
        <v>350</v>
      </c>
      <c r="B195" s="233" t="s">
        <v>227</v>
      </c>
      <c r="C195" s="25"/>
      <c r="D195" s="22"/>
      <c r="E195" s="22"/>
      <c r="F195" s="25"/>
      <c r="G195" s="22"/>
      <c r="H195" s="27">
        <v>10190</v>
      </c>
      <c r="I195" s="31"/>
      <c r="J195" s="28">
        <v>10434</v>
      </c>
      <c r="K195" s="29">
        <v>6686</v>
      </c>
      <c r="L195" s="29"/>
      <c r="M195" s="29"/>
      <c r="N195" s="29">
        <v>7754</v>
      </c>
      <c r="O195" s="30">
        <v>9104</v>
      </c>
      <c r="P195" s="23">
        <f t="shared" si="47"/>
        <v>44168</v>
      </c>
    </row>
    <row r="196" spans="1:16" ht="29.25">
      <c r="A196" s="135" t="s">
        <v>351</v>
      </c>
      <c r="B196" s="136" t="s">
        <v>417</v>
      </c>
      <c r="C196" s="25">
        <v>237000</v>
      </c>
      <c r="D196" s="25"/>
      <c r="E196" s="25"/>
      <c r="F196" s="25"/>
      <c r="G196" s="22"/>
      <c r="H196" s="199"/>
      <c r="I196" s="31"/>
      <c r="J196" s="31"/>
      <c r="K196" s="29"/>
      <c r="L196" s="29"/>
      <c r="M196" s="29"/>
      <c r="N196" s="29"/>
      <c r="O196" s="30"/>
      <c r="P196" s="23">
        <f t="shared" si="47"/>
        <v>237000</v>
      </c>
    </row>
    <row r="197" spans="1:16" ht="15">
      <c r="A197" s="263" t="s">
        <v>352</v>
      </c>
      <c r="B197" s="21" t="s">
        <v>418</v>
      </c>
      <c r="C197" s="25">
        <v>2841</v>
      </c>
      <c r="D197" s="25"/>
      <c r="E197" s="25"/>
      <c r="F197" s="25"/>
      <c r="G197" s="22"/>
      <c r="H197" s="199"/>
      <c r="I197" s="31"/>
      <c r="J197" s="31"/>
      <c r="K197" s="29"/>
      <c r="L197" s="29"/>
      <c r="M197" s="29"/>
      <c r="N197" s="29"/>
      <c r="O197" s="30"/>
      <c r="P197" s="23">
        <f t="shared" si="47"/>
        <v>2841</v>
      </c>
    </row>
    <row r="198" spans="1:16" ht="29.25">
      <c r="A198" s="263" t="s">
        <v>426</v>
      </c>
      <c r="B198" s="120" t="s">
        <v>434</v>
      </c>
      <c r="C198" s="116">
        <v>11807</v>
      </c>
      <c r="D198" s="116"/>
      <c r="E198" s="116"/>
      <c r="F198" s="116"/>
      <c r="G198" s="191"/>
      <c r="H198" s="222"/>
      <c r="I198" s="260"/>
      <c r="J198" s="260"/>
      <c r="K198" s="117"/>
      <c r="L198" s="117"/>
      <c r="M198" s="117"/>
      <c r="N198" s="117"/>
      <c r="O198" s="117"/>
      <c r="P198" s="23">
        <f t="shared" si="47"/>
        <v>11807</v>
      </c>
    </row>
    <row r="199" spans="1:16" ht="29.25">
      <c r="A199" s="263" t="s">
        <v>428</v>
      </c>
      <c r="B199" s="21" t="s">
        <v>427</v>
      </c>
      <c r="C199" s="25">
        <v>12837</v>
      </c>
      <c r="D199" s="25"/>
      <c r="E199" s="25"/>
      <c r="F199" s="25"/>
      <c r="G199" s="22"/>
      <c r="H199" s="225"/>
      <c r="I199" s="189"/>
      <c r="J199" s="189"/>
      <c r="K199" s="30"/>
      <c r="L199" s="30"/>
      <c r="M199" s="30"/>
      <c r="N199" s="30"/>
      <c r="O199" s="30"/>
      <c r="P199" s="23">
        <f t="shared" si="47"/>
        <v>12837</v>
      </c>
    </row>
    <row r="200" spans="1:16" ht="44.25" thickBot="1">
      <c r="A200" s="263" t="s">
        <v>430</v>
      </c>
      <c r="B200" s="236" t="s">
        <v>429</v>
      </c>
      <c r="C200" s="116">
        <v>34085</v>
      </c>
      <c r="D200" s="116"/>
      <c r="E200" s="116"/>
      <c r="F200" s="116"/>
      <c r="G200" s="191"/>
      <c r="H200" s="222"/>
      <c r="I200" s="260"/>
      <c r="J200" s="260"/>
      <c r="K200" s="117"/>
      <c r="L200" s="117"/>
      <c r="M200" s="117"/>
      <c r="N200" s="117"/>
      <c r="O200" s="117"/>
      <c r="P200" s="23">
        <f t="shared" si="47"/>
        <v>34085</v>
      </c>
    </row>
    <row r="201" spans="1:16" ht="15.75" thickBot="1">
      <c r="A201" s="102" t="s">
        <v>7</v>
      </c>
      <c r="B201" s="84" t="s">
        <v>131</v>
      </c>
      <c r="C201" s="85">
        <f aca="true" t="shared" si="48" ref="C201:O201">SUM(C202+C203+C204+C205)</f>
        <v>1386357</v>
      </c>
      <c r="D201" s="85">
        <f t="shared" si="48"/>
        <v>15696</v>
      </c>
      <c r="E201" s="85">
        <f t="shared" si="48"/>
        <v>0</v>
      </c>
      <c r="F201" s="85">
        <f t="shared" si="48"/>
        <v>0</v>
      </c>
      <c r="G201" s="86">
        <f t="shared" si="48"/>
        <v>0</v>
      </c>
      <c r="H201" s="197">
        <f t="shared" si="48"/>
        <v>64731</v>
      </c>
      <c r="I201" s="85">
        <f t="shared" si="48"/>
        <v>207993</v>
      </c>
      <c r="J201" s="85">
        <f t="shared" si="48"/>
        <v>21755</v>
      </c>
      <c r="K201" s="85">
        <f t="shared" si="48"/>
        <v>431151</v>
      </c>
      <c r="L201" s="85">
        <f t="shared" si="48"/>
        <v>24480</v>
      </c>
      <c r="M201" s="85">
        <f t="shared" si="48"/>
        <v>18550</v>
      </c>
      <c r="N201" s="85">
        <f t="shared" si="48"/>
        <v>19042</v>
      </c>
      <c r="O201" s="85">
        <f t="shared" si="48"/>
        <v>47110</v>
      </c>
      <c r="P201" s="87">
        <f>SUM(C201:O201)</f>
        <v>2236865</v>
      </c>
    </row>
    <row r="202" spans="1:16" ht="30">
      <c r="A202" s="91" t="s">
        <v>228</v>
      </c>
      <c r="B202" s="137" t="s">
        <v>229</v>
      </c>
      <c r="C202" s="138">
        <v>51827</v>
      </c>
      <c r="D202" s="139"/>
      <c r="E202" s="139"/>
      <c r="F202" s="138"/>
      <c r="G202" s="139"/>
      <c r="H202" s="234">
        <v>15126</v>
      </c>
      <c r="I202" s="179"/>
      <c r="J202" s="180">
        <v>450</v>
      </c>
      <c r="K202" s="181">
        <v>22462</v>
      </c>
      <c r="L202" s="181"/>
      <c r="M202" s="181"/>
      <c r="N202" s="181">
        <v>680</v>
      </c>
      <c r="O202" s="245">
        <v>12539</v>
      </c>
      <c r="P202" s="182">
        <f t="shared" si="47"/>
        <v>103084</v>
      </c>
    </row>
    <row r="203" spans="1:16" ht="15">
      <c r="A203" s="88" t="s">
        <v>201</v>
      </c>
      <c r="B203" s="16" t="s">
        <v>202</v>
      </c>
      <c r="C203" s="18">
        <v>81732</v>
      </c>
      <c r="D203" s="18"/>
      <c r="E203" s="18"/>
      <c r="F203" s="18"/>
      <c r="G203" s="17"/>
      <c r="H203" s="172">
        <v>4800</v>
      </c>
      <c r="I203" s="17">
        <v>1200</v>
      </c>
      <c r="J203" s="17">
        <v>4800</v>
      </c>
      <c r="K203" s="17">
        <v>4800</v>
      </c>
      <c r="L203" s="33">
        <v>2600</v>
      </c>
      <c r="M203" s="235">
        <v>2500</v>
      </c>
      <c r="N203" s="18">
        <v>3600</v>
      </c>
      <c r="O203" s="18">
        <v>1900</v>
      </c>
      <c r="P203" s="118">
        <f t="shared" si="47"/>
        <v>107932</v>
      </c>
    </row>
    <row r="204" spans="1:16" ht="15">
      <c r="A204" s="88" t="s">
        <v>132</v>
      </c>
      <c r="B204" s="16" t="s">
        <v>133</v>
      </c>
      <c r="C204" s="140">
        <v>30000</v>
      </c>
      <c r="D204" s="60"/>
      <c r="E204" s="60"/>
      <c r="F204" s="89"/>
      <c r="G204" s="60"/>
      <c r="H204" s="205"/>
      <c r="I204" s="62"/>
      <c r="J204" s="62"/>
      <c r="K204" s="63"/>
      <c r="L204" s="63"/>
      <c r="M204" s="63"/>
      <c r="N204" s="63"/>
      <c r="O204" s="64"/>
      <c r="P204" s="23">
        <f t="shared" si="47"/>
        <v>30000</v>
      </c>
    </row>
    <row r="205" spans="1:16" ht="30">
      <c r="A205" s="91" t="s">
        <v>134</v>
      </c>
      <c r="B205" s="32" t="s">
        <v>135</v>
      </c>
      <c r="C205" s="34">
        <f>SUM(C206:C219)</f>
        <v>1222798</v>
      </c>
      <c r="D205" s="34">
        <v>15696</v>
      </c>
      <c r="E205" s="34">
        <f aca="true" t="shared" si="49" ref="E205:O205">SUM(E206:E219)</f>
        <v>0</v>
      </c>
      <c r="F205" s="34">
        <f t="shared" si="49"/>
        <v>0</v>
      </c>
      <c r="G205" s="34">
        <f t="shared" si="49"/>
        <v>0</v>
      </c>
      <c r="H205" s="34">
        <f t="shared" si="49"/>
        <v>44805</v>
      </c>
      <c r="I205" s="34">
        <f t="shared" si="49"/>
        <v>206793</v>
      </c>
      <c r="J205" s="34">
        <f t="shared" si="49"/>
        <v>16505</v>
      </c>
      <c r="K205" s="34">
        <f t="shared" si="49"/>
        <v>403889</v>
      </c>
      <c r="L205" s="34">
        <f t="shared" si="49"/>
        <v>21880</v>
      </c>
      <c r="M205" s="34">
        <f t="shared" si="49"/>
        <v>16050</v>
      </c>
      <c r="N205" s="34">
        <f t="shared" si="49"/>
        <v>14762</v>
      </c>
      <c r="O205" s="34">
        <f t="shared" si="49"/>
        <v>32671</v>
      </c>
      <c r="P205" s="23">
        <f t="shared" si="47"/>
        <v>1995849</v>
      </c>
    </row>
    <row r="206" spans="1:16" ht="15">
      <c r="A206" s="90" t="s">
        <v>353</v>
      </c>
      <c r="B206" s="21" t="s">
        <v>136</v>
      </c>
      <c r="C206" s="25">
        <v>497973</v>
      </c>
      <c r="D206" s="22"/>
      <c r="E206" s="22"/>
      <c r="F206" s="25"/>
      <c r="G206" s="22"/>
      <c r="H206" s="27">
        <v>3620</v>
      </c>
      <c r="I206" s="28"/>
      <c r="J206" s="28">
        <v>3510</v>
      </c>
      <c r="K206" s="29">
        <v>2736</v>
      </c>
      <c r="L206" s="29">
        <v>300</v>
      </c>
      <c r="M206" s="29">
        <v>850</v>
      </c>
      <c r="N206" s="29">
        <v>1530</v>
      </c>
      <c r="O206" s="30">
        <v>1601</v>
      </c>
      <c r="P206" s="23">
        <f t="shared" si="47"/>
        <v>512120</v>
      </c>
    </row>
    <row r="207" spans="1:16" ht="15">
      <c r="A207" s="90" t="s">
        <v>354</v>
      </c>
      <c r="B207" s="21" t="s">
        <v>18</v>
      </c>
      <c r="C207" s="25">
        <v>703800</v>
      </c>
      <c r="D207" s="22"/>
      <c r="E207" s="22"/>
      <c r="F207" s="25"/>
      <c r="G207" s="22"/>
      <c r="H207" s="27">
        <v>41185</v>
      </c>
      <c r="I207" s="28">
        <v>26074</v>
      </c>
      <c r="J207" s="28">
        <v>12995</v>
      </c>
      <c r="K207" s="29">
        <v>49935</v>
      </c>
      <c r="L207" s="29">
        <v>21580</v>
      </c>
      <c r="M207" s="29">
        <v>15200</v>
      </c>
      <c r="N207" s="29">
        <v>13232</v>
      </c>
      <c r="O207" s="30">
        <v>31070</v>
      </c>
      <c r="P207" s="23">
        <f t="shared" si="47"/>
        <v>915071</v>
      </c>
    </row>
    <row r="208" spans="1:16" ht="15">
      <c r="A208" s="90" t="s">
        <v>355</v>
      </c>
      <c r="B208" s="236" t="s">
        <v>356</v>
      </c>
      <c r="C208" s="25"/>
      <c r="D208" s="22"/>
      <c r="E208" s="22"/>
      <c r="F208" s="25"/>
      <c r="G208" s="22"/>
      <c r="H208" s="27"/>
      <c r="I208" s="28"/>
      <c r="J208" s="28"/>
      <c r="K208" s="29"/>
      <c r="L208" s="29"/>
      <c r="M208" s="29"/>
      <c r="N208" s="29"/>
      <c r="O208" s="30"/>
      <c r="P208" s="23">
        <f t="shared" si="47"/>
        <v>0</v>
      </c>
    </row>
    <row r="209" spans="1:16" ht="15">
      <c r="A209" s="90" t="s">
        <v>357</v>
      </c>
      <c r="B209" s="21" t="s">
        <v>204</v>
      </c>
      <c r="C209" s="25"/>
      <c r="D209" s="22"/>
      <c r="E209" s="22"/>
      <c r="F209" s="25"/>
      <c r="G209" s="22"/>
      <c r="H209" s="27"/>
      <c r="I209" s="28">
        <f>178719+2000</f>
        <v>180719</v>
      </c>
      <c r="J209" s="28"/>
      <c r="K209" s="29"/>
      <c r="L209" s="29"/>
      <c r="M209" s="29"/>
      <c r="N209" s="29"/>
      <c r="O209" s="30"/>
      <c r="P209" s="23">
        <f t="shared" si="47"/>
        <v>180719</v>
      </c>
    </row>
    <row r="210" spans="1:16" ht="15">
      <c r="A210" s="90" t="s">
        <v>358</v>
      </c>
      <c r="B210" s="21" t="s">
        <v>205</v>
      </c>
      <c r="C210" s="25"/>
      <c r="D210" s="22"/>
      <c r="E210" s="22"/>
      <c r="F210" s="25"/>
      <c r="G210" s="22"/>
      <c r="H210" s="27"/>
      <c r="I210" s="28"/>
      <c r="J210" s="28"/>
      <c r="K210" s="29">
        <f>348734+1500</f>
        <v>350234</v>
      </c>
      <c r="L210" s="29"/>
      <c r="M210" s="29"/>
      <c r="N210" s="29"/>
      <c r="O210" s="30"/>
      <c r="P210" s="23">
        <f t="shared" si="47"/>
        <v>350234</v>
      </c>
    </row>
    <row r="211" spans="1:16" ht="15">
      <c r="A211" s="90" t="s">
        <v>359</v>
      </c>
      <c r="B211" s="21" t="s">
        <v>360</v>
      </c>
      <c r="C211" s="22">
        <v>1400</v>
      </c>
      <c r="D211" s="22"/>
      <c r="E211" s="22"/>
      <c r="F211" s="25"/>
      <c r="G211" s="22"/>
      <c r="H211" s="199"/>
      <c r="I211" s="31"/>
      <c r="J211" s="31"/>
      <c r="K211" s="29"/>
      <c r="L211" s="29"/>
      <c r="M211" s="29"/>
      <c r="N211" s="29"/>
      <c r="O211" s="30"/>
      <c r="P211" s="23">
        <f t="shared" si="47"/>
        <v>1400</v>
      </c>
    </row>
    <row r="212" spans="1:16" ht="15">
      <c r="A212" s="90" t="s">
        <v>361</v>
      </c>
      <c r="B212" s="21" t="s">
        <v>137</v>
      </c>
      <c r="C212" s="25">
        <v>7965</v>
      </c>
      <c r="D212" s="22"/>
      <c r="E212" s="22"/>
      <c r="F212" s="25"/>
      <c r="G212" s="22"/>
      <c r="H212" s="199"/>
      <c r="I212" s="31"/>
      <c r="J212" s="31"/>
      <c r="K212" s="29"/>
      <c r="L212" s="29"/>
      <c r="M212" s="29"/>
      <c r="N212" s="29"/>
      <c r="O212" s="30"/>
      <c r="P212" s="23">
        <f t="shared" si="47"/>
        <v>7965</v>
      </c>
    </row>
    <row r="213" spans="1:16" ht="15">
      <c r="A213" s="90" t="s">
        <v>362</v>
      </c>
      <c r="B213" s="21" t="s">
        <v>138</v>
      </c>
      <c r="C213" s="25">
        <v>400</v>
      </c>
      <c r="D213" s="22"/>
      <c r="E213" s="22"/>
      <c r="F213" s="25"/>
      <c r="G213" s="22"/>
      <c r="H213" s="199"/>
      <c r="I213" s="31"/>
      <c r="J213" s="31"/>
      <c r="K213" s="29"/>
      <c r="L213" s="29"/>
      <c r="M213" s="29"/>
      <c r="N213" s="29"/>
      <c r="O213" s="30"/>
      <c r="P213" s="23">
        <f t="shared" si="47"/>
        <v>400</v>
      </c>
    </row>
    <row r="214" spans="1:16" ht="15">
      <c r="A214" s="90" t="s">
        <v>363</v>
      </c>
      <c r="B214" s="21" t="s">
        <v>139</v>
      </c>
      <c r="C214" s="25">
        <v>9670</v>
      </c>
      <c r="D214" s="22"/>
      <c r="E214" s="22"/>
      <c r="F214" s="25"/>
      <c r="G214" s="22"/>
      <c r="H214" s="199"/>
      <c r="I214" s="31"/>
      <c r="J214" s="31"/>
      <c r="K214" s="29"/>
      <c r="L214" s="29"/>
      <c r="M214" s="29"/>
      <c r="N214" s="29"/>
      <c r="O214" s="30"/>
      <c r="P214" s="23">
        <f t="shared" si="47"/>
        <v>9670</v>
      </c>
    </row>
    <row r="215" spans="1:16" ht="15">
      <c r="A215" s="90" t="s">
        <v>364</v>
      </c>
      <c r="B215" s="21" t="s">
        <v>203</v>
      </c>
      <c r="C215" s="40"/>
      <c r="D215" s="22"/>
      <c r="E215" s="22"/>
      <c r="F215" s="25"/>
      <c r="G215" s="22"/>
      <c r="H215" s="225"/>
      <c r="I215" s="28"/>
      <c r="J215" s="31"/>
      <c r="K215" s="30">
        <v>984</v>
      </c>
      <c r="L215" s="30"/>
      <c r="M215" s="30"/>
      <c r="N215" s="30"/>
      <c r="O215" s="30"/>
      <c r="P215" s="23">
        <f t="shared" si="47"/>
        <v>984</v>
      </c>
    </row>
    <row r="216" spans="1:16" ht="15">
      <c r="A216" s="90" t="s">
        <v>365</v>
      </c>
      <c r="B216" s="21" t="s">
        <v>206</v>
      </c>
      <c r="C216" s="25">
        <v>300</v>
      </c>
      <c r="D216" s="25"/>
      <c r="E216" s="25"/>
      <c r="F216" s="25"/>
      <c r="G216" s="22"/>
      <c r="H216" s="199"/>
      <c r="I216" s="31"/>
      <c r="J216" s="31"/>
      <c r="K216" s="29"/>
      <c r="L216" s="29"/>
      <c r="M216" s="29"/>
      <c r="N216" s="29"/>
      <c r="O216" s="30"/>
      <c r="P216" s="23">
        <f t="shared" si="47"/>
        <v>300</v>
      </c>
    </row>
    <row r="217" spans="1:16" ht="15">
      <c r="A217" s="90" t="s">
        <v>366</v>
      </c>
      <c r="B217" s="21" t="s">
        <v>419</v>
      </c>
      <c r="C217" s="116">
        <v>200</v>
      </c>
      <c r="D217" s="116"/>
      <c r="E217" s="116"/>
      <c r="F217" s="116"/>
      <c r="G217" s="191"/>
      <c r="H217" s="222"/>
      <c r="I217" s="141"/>
      <c r="J217" s="141"/>
      <c r="K217" s="117"/>
      <c r="L217" s="117"/>
      <c r="M217" s="117"/>
      <c r="N217" s="117"/>
      <c r="O217" s="117"/>
      <c r="P217" s="23">
        <f t="shared" si="47"/>
        <v>200</v>
      </c>
    </row>
    <row r="218" spans="1:16" ht="15">
      <c r="A218" s="90" t="s">
        <v>383</v>
      </c>
      <c r="B218" s="21" t="s">
        <v>384</v>
      </c>
      <c r="C218" s="25">
        <v>1090</v>
      </c>
      <c r="D218" s="25"/>
      <c r="E218" s="25"/>
      <c r="F218" s="25"/>
      <c r="G218" s="22"/>
      <c r="H218" s="225"/>
      <c r="I218" s="31"/>
      <c r="J218" s="31"/>
      <c r="K218" s="30"/>
      <c r="L218" s="30"/>
      <c r="M218" s="30"/>
      <c r="N218" s="30"/>
      <c r="O218" s="178"/>
      <c r="P218" s="23">
        <f t="shared" si="47"/>
        <v>1090</v>
      </c>
    </row>
    <row r="219" spans="1:16" ht="15.75" thickBot="1">
      <c r="A219" s="90"/>
      <c r="B219" s="236"/>
      <c r="C219" s="116"/>
      <c r="D219" s="116"/>
      <c r="E219" s="116"/>
      <c r="F219" s="116"/>
      <c r="G219" s="191"/>
      <c r="H219" s="222"/>
      <c r="I219" s="141"/>
      <c r="J219" s="141"/>
      <c r="K219" s="117"/>
      <c r="L219" s="117"/>
      <c r="M219" s="117"/>
      <c r="N219" s="117"/>
      <c r="O219" s="117"/>
      <c r="P219" s="23">
        <f t="shared" si="47"/>
        <v>0</v>
      </c>
    </row>
    <row r="220" spans="1:16" ht="15.75" thickBot="1">
      <c r="A220" s="142"/>
      <c r="B220" s="143" t="s">
        <v>20</v>
      </c>
      <c r="C220" s="85">
        <f aca="true" t="shared" si="50" ref="C220:O220">C60+C70+C74+C98+C114+C129+C135+C155+C201</f>
        <v>18723729</v>
      </c>
      <c r="D220" s="85">
        <f t="shared" si="50"/>
        <v>10590185</v>
      </c>
      <c r="E220" s="85">
        <f t="shared" si="50"/>
        <v>674771</v>
      </c>
      <c r="F220" s="85">
        <f t="shared" si="50"/>
        <v>403665</v>
      </c>
      <c r="G220" s="86">
        <f t="shared" si="50"/>
        <v>253792</v>
      </c>
      <c r="H220" s="197">
        <f t="shared" si="50"/>
        <v>1516260</v>
      </c>
      <c r="I220" s="86">
        <f t="shared" si="50"/>
        <v>615726</v>
      </c>
      <c r="J220" s="86">
        <f t="shared" si="50"/>
        <v>543334</v>
      </c>
      <c r="K220" s="85">
        <f t="shared" si="50"/>
        <v>1795403</v>
      </c>
      <c r="L220" s="85">
        <f t="shared" si="50"/>
        <v>211029</v>
      </c>
      <c r="M220" s="85">
        <f t="shared" si="50"/>
        <v>231298</v>
      </c>
      <c r="N220" s="85">
        <f t="shared" si="50"/>
        <v>387931</v>
      </c>
      <c r="O220" s="85">
        <f t="shared" si="50"/>
        <v>561100</v>
      </c>
      <c r="P220" s="87">
        <f t="shared" si="47"/>
        <v>36508223</v>
      </c>
    </row>
    <row r="221" spans="1:16" ht="15">
      <c r="A221" s="73" t="s">
        <v>207</v>
      </c>
      <c r="B221" s="144" t="s">
        <v>21</v>
      </c>
      <c r="C221" s="145">
        <v>1722980</v>
      </c>
      <c r="D221" s="145"/>
      <c r="E221" s="145"/>
      <c r="F221" s="146"/>
      <c r="G221" s="145"/>
      <c r="H221" s="177">
        <v>11358</v>
      </c>
      <c r="I221" s="80">
        <v>4599</v>
      </c>
      <c r="J221" s="80">
        <v>25634</v>
      </c>
      <c r="K221" s="80">
        <v>26545</v>
      </c>
      <c r="L221" s="80"/>
      <c r="M221" s="80">
        <v>11107</v>
      </c>
      <c r="N221" s="80">
        <v>26155</v>
      </c>
      <c r="O221" s="80">
        <v>36664</v>
      </c>
      <c r="P221" s="152">
        <f t="shared" si="47"/>
        <v>1865042</v>
      </c>
    </row>
    <row r="222" spans="1:16" ht="15">
      <c r="A222" s="148" t="s">
        <v>233</v>
      </c>
      <c r="B222" s="163" t="s">
        <v>424</v>
      </c>
      <c r="C222" s="145">
        <v>2000</v>
      </c>
      <c r="D222" s="145"/>
      <c r="E222" s="145"/>
      <c r="F222" s="146"/>
      <c r="G222" s="145"/>
      <c r="H222" s="80"/>
      <c r="I222" s="80"/>
      <c r="J222" s="80"/>
      <c r="K222" s="80"/>
      <c r="L222" s="80"/>
      <c r="M222" s="80"/>
      <c r="N222" s="80"/>
      <c r="O222" s="80"/>
      <c r="P222" s="152">
        <f t="shared" si="47"/>
        <v>2000</v>
      </c>
    </row>
    <row r="223" spans="2:16" ht="15">
      <c r="B223" s="2"/>
      <c r="C223" s="149"/>
      <c r="D223" s="149"/>
      <c r="E223" s="149"/>
      <c r="F223" s="150"/>
      <c r="G223" s="149"/>
      <c r="P223" s="152">
        <f t="shared" si="47"/>
        <v>0</v>
      </c>
    </row>
    <row r="224" spans="2:16" ht="29.25">
      <c r="B224" s="151" t="s">
        <v>367</v>
      </c>
      <c r="C224" s="149">
        <v>905187</v>
      </c>
      <c r="D224" s="149">
        <f>490040-2582-7000</f>
        <v>480458</v>
      </c>
      <c r="E224" s="149"/>
      <c r="F224" s="150"/>
      <c r="G224" s="149">
        <v>5187</v>
      </c>
      <c r="H224" s="2">
        <v>118793</v>
      </c>
      <c r="K224" s="2">
        <f>144902-1500</f>
        <v>143402</v>
      </c>
      <c r="L224" s="2">
        <v>2814</v>
      </c>
      <c r="N224" s="2">
        <v>1351</v>
      </c>
      <c r="O224" s="2">
        <v>3537</v>
      </c>
      <c r="P224" s="152">
        <f t="shared" si="47"/>
        <v>1660729</v>
      </c>
    </row>
    <row r="225" spans="1:16" ht="29.25">
      <c r="A225" s="237" t="s">
        <v>368</v>
      </c>
      <c r="B225" s="238" t="s">
        <v>369</v>
      </c>
      <c r="C225" s="152">
        <f aca="true" t="shared" si="51" ref="C225:O225">C48-C220-C221-C222-C224</f>
        <v>5386159</v>
      </c>
      <c r="D225" s="152">
        <f t="shared" si="51"/>
        <v>-598536</v>
      </c>
      <c r="E225" s="152">
        <f t="shared" si="51"/>
        <v>-584223</v>
      </c>
      <c r="F225" s="152">
        <f t="shared" si="51"/>
        <v>-147750</v>
      </c>
      <c r="G225" s="152">
        <f t="shared" si="51"/>
        <v>-150000</v>
      </c>
      <c r="H225" s="152">
        <f t="shared" si="51"/>
        <v>-1115582</v>
      </c>
      <c r="I225" s="152">
        <f t="shared" si="51"/>
        <v>-418258</v>
      </c>
      <c r="J225" s="152">
        <f t="shared" si="51"/>
        <v>-391587</v>
      </c>
      <c r="K225" s="152">
        <f t="shared" si="51"/>
        <v>-1070578</v>
      </c>
      <c r="L225" s="152">
        <f t="shared" si="51"/>
        <v>-156383</v>
      </c>
      <c r="M225" s="152">
        <f t="shared" si="51"/>
        <v>-159999</v>
      </c>
      <c r="N225" s="152">
        <f t="shared" si="51"/>
        <v>-177796</v>
      </c>
      <c r="O225" s="152">
        <f t="shared" si="51"/>
        <v>-415467</v>
      </c>
      <c r="P225" s="152">
        <f t="shared" si="47"/>
        <v>0</v>
      </c>
    </row>
    <row r="226" spans="2:16" ht="15">
      <c r="B226" s="153"/>
      <c r="C226" s="152"/>
      <c r="D226" s="152">
        <v>689474</v>
      </c>
      <c r="E226" s="152"/>
      <c r="F226" s="152"/>
      <c r="G226" s="152"/>
      <c r="H226" s="152"/>
      <c r="I226" s="246"/>
      <c r="J226" s="152"/>
      <c r="K226" s="152"/>
      <c r="L226" s="152"/>
      <c r="M226" s="152"/>
      <c r="N226" s="152"/>
      <c r="O226" s="152"/>
      <c r="P226" s="152"/>
    </row>
    <row r="227" spans="2:16" ht="15">
      <c r="B227" s="153"/>
      <c r="C227" s="152"/>
      <c r="D227" s="152">
        <v>-99947</v>
      </c>
      <c r="E227" s="152"/>
      <c r="F227" s="152"/>
      <c r="G227" s="152"/>
      <c r="H227" s="152"/>
      <c r="I227" s="246"/>
      <c r="J227" s="152"/>
      <c r="K227" s="152"/>
      <c r="L227" s="152"/>
      <c r="M227" s="152"/>
      <c r="N227" s="152"/>
      <c r="O227" s="152"/>
      <c r="P227" s="152"/>
    </row>
    <row r="228" spans="2:16" ht="15">
      <c r="B228" s="153"/>
      <c r="C228" s="152"/>
      <c r="D228" s="152"/>
      <c r="E228" s="152"/>
      <c r="F228" s="152"/>
      <c r="G228" s="152"/>
      <c r="H228" s="152"/>
      <c r="I228" s="246"/>
      <c r="J228" s="152"/>
      <c r="K228" s="152"/>
      <c r="L228" s="152"/>
      <c r="M228" s="152"/>
      <c r="N228" s="152"/>
      <c r="O228" s="152"/>
      <c r="P228" s="152"/>
    </row>
    <row r="229" spans="2:16" ht="15">
      <c r="B229" s="153"/>
      <c r="C229" s="152"/>
      <c r="D229" s="152"/>
      <c r="E229" s="152"/>
      <c r="F229" s="152"/>
      <c r="G229" s="152"/>
      <c r="H229" s="152"/>
      <c r="I229" s="246"/>
      <c r="J229" s="152"/>
      <c r="K229" s="152"/>
      <c r="L229" s="152"/>
      <c r="M229" s="152"/>
      <c r="N229" s="152"/>
      <c r="O229" s="152"/>
      <c r="P229" s="152"/>
    </row>
    <row r="230" spans="2:16" ht="15">
      <c r="B230" s="78" t="s">
        <v>22</v>
      </c>
      <c r="D230" s="4" t="s">
        <v>23</v>
      </c>
      <c r="P230" s="154">
        <f>P225-P31</f>
        <v>0</v>
      </c>
    </row>
    <row r="231" spans="1:16" ht="15">
      <c r="A231" s="9"/>
      <c r="B231" s="82"/>
      <c r="C231" s="239"/>
      <c r="D231" s="146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150"/>
    </row>
    <row r="232" ht="15">
      <c r="B232" s="78"/>
    </row>
    <row r="233" spans="1:7" ht="44.25" customHeight="1" thickBot="1">
      <c r="A233" s="470" t="s">
        <v>420</v>
      </c>
      <c r="B233" s="470"/>
      <c r="C233" s="470"/>
      <c r="D233" s="470"/>
      <c r="E233" s="149"/>
      <c r="F233" s="149"/>
      <c r="G233" s="149"/>
    </row>
    <row r="234" spans="1:16" ht="86.25" thickBot="1">
      <c r="A234" s="10" t="s">
        <v>10</v>
      </c>
      <c r="B234" s="11" t="s">
        <v>152</v>
      </c>
      <c r="C234" s="12" t="s">
        <v>386</v>
      </c>
      <c r="D234" s="13" t="s">
        <v>388</v>
      </c>
      <c r="E234" s="12" t="s">
        <v>389</v>
      </c>
      <c r="F234" s="14" t="s">
        <v>390</v>
      </c>
      <c r="G234" s="12" t="s">
        <v>391</v>
      </c>
      <c r="H234" s="192" t="s">
        <v>392</v>
      </c>
      <c r="I234" s="185" t="s">
        <v>393</v>
      </c>
      <c r="J234" s="185" t="s">
        <v>394</v>
      </c>
      <c r="K234" s="185" t="s">
        <v>395</v>
      </c>
      <c r="L234" s="185" t="s">
        <v>396</v>
      </c>
      <c r="M234" s="185" t="s">
        <v>397</v>
      </c>
      <c r="N234" s="185" t="s">
        <v>398</v>
      </c>
      <c r="O234" s="186" t="s">
        <v>399</v>
      </c>
      <c r="P234" s="15" t="s">
        <v>400</v>
      </c>
    </row>
    <row r="235" spans="1:16" ht="15">
      <c r="A235" s="155">
        <v>1100</v>
      </c>
      <c r="B235" s="156" t="s">
        <v>225</v>
      </c>
      <c r="C235" s="157">
        <f>5715287+795586+46468+3100</f>
        <v>6560441</v>
      </c>
      <c r="D235" s="157">
        <v>1477737</v>
      </c>
      <c r="E235" s="157">
        <v>301494</v>
      </c>
      <c r="F235" s="157">
        <v>157322</v>
      </c>
      <c r="G235" s="157">
        <v>36358</v>
      </c>
      <c r="H235" s="269">
        <v>632474</v>
      </c>
      <c r="I235" s="264">
        <v>230860</v>
      </c>
      <c r="J235" s="264">
        <v>220559</v>
      </c>
      <c r="K235" s="276">
        <f>843890+1200</f>
        <v>845090</v>
      </c>
      <c r="L235" s="157">
        <v>67567</v>
      </c>
      <c r="M235" s="264">
        <v>91094</v>
      </c>
      <c r="N235" s="264">
        <v>73562</v>
      </c>
      <c r="O235" s="264">
        <v>256764</v>
      </c>
      <c r="P235" s="158">
        <f aca="true" t="shared" si="52" ref="P235:P255">SUM(C235:O235)</f>
        <v>10951322</v>
      </c>
    </row>
    <row r="236" spans="1:16" ht="57.75">
      <c r="A236" s="37">
        <v>1200</v>
      </c>
      <c r="B236" s="21" t="s">
        <v>370</v>
      </c>
      <c r="C236" s="29">
        <f>1732448+194474+2517+747</f>
        <v>1930186</v>
      </c>
      <c r="D236" s="29">
        <v>358030</v>
      </c>
      <c r="E236" s="29">
        <v>86204</v>
      </c>
      <c r="F236" s="29">
        <v>41932</v>
      </c>
      <c r="G236" s="29">
        <v>9144</v>
      </c>
      <c r="H236" s="270">
        <v>188768</v>
      </c>
      <c r="I236" s="265">
        <v>67631</v>
      </c>
      <c r="J236" s="265">
        <v>70121</v>
      </c>
      <c r="K236" s="160">
        <f>255708+300</f>
        <v>256008</v>
      </c>
      <c r="L236" s="29">
        <v>20405</v>
      </c>
      <c r="M236" s="265">
        <v>28084</v>
      </c>
      <c r="N236" s="265">
        <v>22106</v>
      </c>
      <c r="O236" s="265">
        <v>77756</v>
      </c>
      <c r="P236" s="159">
        <f t="shared" si="52"/>
        <v>3156375</v>
      </c>
    </row>
    <row r="237" spans="1:16" ht="15">
      <c r="A237" s="37">
        <v>2000</v>
      </c>
      <c r="B237" s="21" t="s">
        <v>208</v>
      </c>
      <c r="C237" s="29">
        <f aca="true" t="shared" si="53" ref="C237:L237">SUM(C238:C243)</f>
        <v>3505803</v>
      </c>
      <c r="D237" s="29">
        <f t="shared" si="53"/>
        <v>6972451</v>
      </c>
      <c r="E237" s="29">
        <f t="shared" si="53"/>
        <v>274708</v>
      </c>
      <c r="F237" s="29">
        <f t="shared" si="53"/>
        <v>189154</v>
      </c>
      <c r="G237" s="29">
        <f t="shared" si="53"/>
        <v>40483</v>
      </c>
      <c r="H237" s="265">
        <f>SUM(H238:H243)</f>
        <v>552298</v>
      </c>
      <c r="I237" s="265">
        <f>SUM(I238:I243)</f>
        <v>208625</v>
      </c>
      <c r="J237" s="265">
        <f>SUM(J238:J243)</f>
        <v>207316</v>
      </c>
      <c r="K237" s="160">
        <f>SUM(K238:K243)</f>
        <v>518082</v>
      </c>
      <c r="L237" s="29">
        <f t="shared" si="53"/>
        <v>95499</v>
      </c>
      <c r="M237" s="265">
        <f>SUM(M238:M243)</f>
        <v>80748</v>
      </c>
      <c r="N237" s="265">
        <f>SUM(N238:N243)</f>
        <v>71030</v>
      </c>
      <c r="O237" s="265">
        <f>SUM(O238:O243)</f>
        <v>143808</v>
      </c>
      <c r="P237" s="159">
        <f t="shared" si="52"/>
        <v>12860005</v>
      </c>
    </row>
    <row r="238" spans="1:16" ht="29.25">
      <c r="A238" s="37">
        <v>2100</v>
      </c>
      <c r="B238" s="21" t="s">
        <v>371</v>
      </c>
      <c r="C238" s="29">
        <f>16738+9387-1280+80</f>
        <v>24925</v>
      </c>
      <c r="D238" s="29">
        <v>4000</v>
      </c>
      <c r="E238" s="29">
        <v>3399</v>
      </c>
      <c r="F238" s="29"/>
      <c r="G238" s="29">
        <v>2636</v>
      </c>
      <c r="H238" s="270">
        <v>1030</v>
      </c>
      <c r="I238" s="265">
        <v>230</v>
      </c>
      <c r="J238" s="265">
        <v>400</v>
      </c>
      <c r="K238" s="160">
        <v>649</v>
      </c>
      <c r="L238" s="29">
        <v>15</v>
      </c>
      <c r="M238" s="265">
        <v>275</v>
      </c>
      <c r="N238" s="268">
        <v>450</v>
      </c>
      <c r="O238" s="265">
        <v>500</v>
      </c>
      <c r="P238" s="159">
        <f t="shared" si="52"/>
        <v>38509</v>
      </c>
    </row>
    <row r="239" spans="1:16" ht="15">
      <c r="A239" s="37">
        <v>2200</v>
      </c>
      <c r="B239" s="21" t="s">
        <v>209</v>
      </c>
      <c r="C239" s="29">
        <f>2591316-10425-10000+153403-40681+5468+18000</f>
        <v>2707081</v>
      </c>
      <c r="D239" s="29">
        <v>3256122</v>
      </c>
      <c r="E239" s="29">
        <v>193224</v>
      </c>
      <c r="F239" s="29">
        <v>155939</v>
      </c>
      <c r="G239" s="29">
        <f>33247-3657</f>
        <v>29590</v>
      </c>
      <c r="H239" s="270">
        <v>325223</v>
      </c>
      <c r="I239" s="265">
        <v>84791</v>
      </c>
      <c r="J239" s="265">
        <f>114598+400</f>
        <v>114998</v>
      </c>
      <c r="K239" s="251">
        <v>214750</v>
      </c>
      <c r="L239" s="29">
        <v>53420</v>
      </c>
      <c r="M239" s="265">
        <v>44454</v>
      </c>
      <c r="N239" s="268">
        <v>29365</v>
      </c>
      <c r="O239" s="265">
        <v>80378</v>
      </c>
      <c r="P239" s="159">
        <f t="shared" si="52"/>
        <v>7289335</v>
      </c>
    </row>
    <row r="240" spans="1:16" ht="43.5">
      <c r="A240" s="37">
        <v>2300</v>
      </c>
      <c r="B240" s="21" t="s">
        <v>210</v>
      </c>
      <c r="C240" s="29">
        <f>658041+23590+28990-257-80+8500-2300</f>
        <v>716484</v>
      </c>
      <c r="D240" s="29">
        <v>3660474</v>
      </c>
      <c r="E240" s="29">
        <v>69285</v>
      </c>
      <c r="F240" s="29">
        <v>12680</v>
      </c>
      <c r="G240" s="29">
        <f>4300+3407</f>
        <v>7707</v>
      </c>
      <c r="H240" s="270">
        <v>214800</v>
      </c>
      <c r="I240" s="265">
        <v>118318</v>
      </c>
      <c r="J240" s="265">
        <v>90203</v>
      </c>
      <c r="K240" s="251">
        <v>295737</v>
      </c>
      <c r="L240" s="29">
        <v>41214</v>
      </c>
      <c r="M240" s="265">
        <v>34606</v>
      </c>
      <c r="N240" s="268">
        <v>40565</v>
      </c>
      <c r="O240" s="265">
        <v>56200</v>
      </c>
      <c r="P240" s="159">
        <f t="shared" si="52"/>
        <v>5358273</v>
      </c>
    </row>
    <row r="241" spans="1:16" ht="15">
      <c r="A241" s="37">
        <v>2400</v>
      </c>
      <c r="B241" s="21" t="s">
        <v>211</v>
      </c>
      <c r="C241" s="29">
        <f>3950+100+70</f>
        <v>4120</v>
      </c>
      <c r="D241" s="29"/>
      <c r="E241" s="29"/>
      <c r="F241" s="29"/>
      <c r="G241" s="29"/>
      <c r="H241" s="270">
        <v>2019</v>
      </c>
      <c r="I241" s="265">
        <v>720</v>
      </c>
      <c r="J241" s="265">
        <v>500</v>
      </c>
      <c r="K241" s="160">
        <f>848+50</f>
        <v>898</v>
      </c>
      <c r="L241" s="29">
        <v>350</v>
      </c>
      <c r="M241" s="265">
        <v>360</v>
      </c>
      <c r="N241" s="265">
        <v>500</v>
      </c>
      <c r="O241" s="265">
        <v>1000</v>
      </c>
      <c r="P241" s="159">
        <f t="shared" si="52"/>
        <v>10467</v>
      </c>
    </row>
    <row r="242" spans="1:16" ht="15">
      <c r="A242" s="37">
        <v>2500</v>
      </c>
      <c r="B242" s="21" t="s">
        <v>212</v>
      </c>
      <c r="C242" s="29">
        <f>28445+8+3740</f>
        <v>32193</v>
      </c>
      <c r="D242" s="29">
        <v>51855</v>
      </c>
      <c r="E242" s="29">
        <v>8800</v>
      </c>
      <c r="F242" s="29">
        <v>20535</v>
      </c>
      <c r="G242" s="29">
        <f>300+250</f>
        <v>550</v>
      </c>
      <c r="H242" s="270">
        <v>9226</v>
      </c>
      <c r="I242" s="265">
        <v>4566</v>
      </c>
      <c r="J242" s="265">
        <v>1215</v>
      </c>
      <c r="K242" s="160">
        <v>6048</v>
      </c>
      <c r="L242" s="29">
        <v>500</v>
      </c>
      <c r="M242" s="265">
        <v>1053</v>
      </c>
      <c r="N242" s="265">
        <v>150</v>
      </c>
      <c r="O242" s="265">
        <v>5730</v>
      </c>
      <c r="P242" s="159">
        <f t="shared" si="52"/>
        <v>142421</v>
      </c>
    </row>
    <row r="243" spans="1:16" ht="43.5">
      <c r="A243" s="37">
        <v>2800</v>
      </c>
      <c r="B243" s="21" t="s">
        <v>372</v>
      </c>
      <c r="C243" s="29">
        <v>21000</v>
      </c>
      <c r="D243" s="29"/>
      <c r="E243" s="29"/>
      <c r="F243" s="29"/>
      <c r="G243" s="29"/>
      <c r="H243" s="270"/>
      <c r="I243" s="265"/>
      <c r="J243" s="265"/>
      <c r="K243" s="160"/>
      <c r="L243" s="29"/>
      <c r="M243" s="265"/>
      <c r="N243" s="265"/>
      <c r="O243" s="265"/>
      <c r="P243" s="159">
        <f t="shared" si="52"/>
        <v>21000</v>
      </c>
    </row>
    <row r="244" spans="1:16" ht="29.25">
      <c r="A244" s="37">
        <v>3200</v>
      </c>
      <c r="B244" s="21" t="s">
        <v>373</v>
      </c>
      <c r="C244" s="29">
        <f>68486+7019+470</f>
        <v>75975</v>
      </c>
      <c r="D244" s="29"/>
      <c r="E244" s="29"/>
      <c r="F244" s="29"/>
      <c r="G244" s="29"/>
      <c r="H244" s="270"/>
      <c r="I244" s="265"/>
      <c r="J244" s="265"/>
      <c r="K244" s="160"/>
      <c r="L244" s="29"/>
      <c r="M244" s="265"/>
      <c r="N244" s="265"/>
      <c r="O244" s="265"/>
      <c r="P244" s="159">
        <f t="shared" si="52"/>
        <v>75975</v>
      </c>
    </row>
    <row r="245" spans="1:16" ht="29.25">
      <c r="A245" s="37">
        <v>4200</v>
      </c>
      <c r="B245" s="21" t="s">
        <v>213</v>
      </c>
      <c r="C245" s="29"/>
      <c r="D245" s="29"/>
      <c r="E245" s="29"/>
      <c r="F245" s="29"/>
      <c r="G245" s="29"/>
      <c r="H245" s="270"/>
      <c r="I245" s="265"/>
      <c r="J245" s="265"/>
      <c r="K245" s="160"/>
      <c r="L245" s="29"/>
      <c r="M245" s="265"/>
      <c r="N245" s="265"/>
      <c r="O245" s="265"/>
      <c r="P245" s="159">
        <f t="shared" si="52"/>
        <v>0</v>
      </c>
    </row>
    <row r="246" spans="1:16" ht="15">
      <c r="A246" s="37">
        <v>4300</v>
      </c>
      <c r="B246" s="21" t="s">
        <v>214</v>
      </c>
      <c r="C246" s="29">
        <v>345269</v>
      </c>
      <c r="D246" s="29"/>
      <c r="E246" s="29"/>
      <c r="F246" s="29"/>
      <c r="G246" s="29"/>
      <c r="H246" s="270">
        <v>1961</v>
      </c>
      <c r="I246" s="265">
        <v>885</v>
      </c>
      <c r="J246" s="265">
        <v>10160</v>
      </c>
      <c r="K246" s="160">
        <v>7694</v>
      </c>
      <c r="L246" s="29"/>
      <c r="M246" s="265">
        <v>1100</v>
      </c>
      <c r="N246" s="265">
        <v>3215</v>
      </c>
      <c r="O246" s="265">
        <v>6190</v>
      </c>
      <c r="P246" s="159">
        <f t="shared" si="52"/>
        <v>376474</v>
      </c>
    </row>
    <row r="247" spans="1:16" ht="15">
      <c r="A247" s="37">
        <v>5100</v>
      </c>
      <c r="B247" s="21" t="s">
        <v>141</v>
      </c>
      <c r="C247" s="29">
        <f>17130+811-2159-250-785</f>
        <v>14747</v>
      </c>
      <c r="D247" s="29">
        <v>495</v>
      </c>
      <c r="E247" s="29">
        <v>908</v>
      </c>
      <c r="F247" s="29"/>
      <c r="G247" s="29"/>
      <c r="H247" s="270">
        <v>280</v>
      </c>
      <c r="I247" s="265">
        <v>500</v>
      </c>
      <c r="J247" s="265">
        <v>200</v>
      </c>
      <c r="K247" s="160">
        <v>867</v>
      </c>
      <c r="L247" s="29"/>
      <c r="M247" s="265">
        <v>180</v>
      </c>
      <c r="N247" s="265"/>
      <c r="O247" s="265"/>
      <c r="P247" s="159">
        <f t="shared" si="52"/>
        <v>18177</v>
      </c>
    </row>
    <row r="248" spans="1:16" ht="15">
      <c r="A248" s="37">
        <v>5200</v>
      </c>
      <c r="B248" s="21" t="s">
        <v>215</v>
      </c>
      <c r="C248" s="29">
        <f>5891306+10425+10000+786158-1548090+257+250+785</f>
        <v>5151091</v>
      </c>
      <c r="D248" s="29">
        <v>1781472</v>
      </c>
      <c r="E248" s="29">
        <f>9706+1750</f>
        <v>11456</v>
      </c>
      <c r="F248" s="29">
        <v>15257</v>
      </c>
      <c r="G248" s="29">
        <v>167807</v>
      </c>
      <c r="H248" s="270">
        <f>93655+719</f>
        <v>94374</v>
      </c>
      <c r="I248" s="265">
        <v>67064</v>
      </c>
      <c r="J248" s="265">
        <v>17183</v>
      </c>
      <c r="K248" s="160">
        <v>101927</v>
      </c>
      <c r="L248" s="29">
        <v>3378</v>
      </c>
      <c r="M248" s="265">
        <v>6233</v>
      </c>
      <c r="N248" s="265">
        <v>201186</v>
      </c>
      <c r="O248" s="265">
        <v>43612</v>
      </c>
      <c r="P248" s="159">
        <f t="shared" si="52"/>
        <v>7662040</v>
      </c>
    </row>
    <row r="249" spans="1:16" ht="15">
      <c r="A249" s="37">
        <v>6200</v>
      </c>
      <c r="B249" s="21" t="s">
        <v>216</v>
      </c>
      <c r="C249" s="29">
        <f>279500+33394+1750</f>
        <v>314644</v>
      </c>
      <c r="D249" s="29"/>
      <c r="E249" s="29"/>
      <c r="F249" s="29"/>
      <c r="G249" s="29"/>
      <c r="H249" s="270">
        <v>30900</v>
      </c>
      <c r="I249" s="265">
        <v>26600</v>
      </c>
      <c r="J249" s="265">
        <v>14788</v>
      </c>
      <c r="K249" s="160">
        <f>33675-2500</f>
        <v>31175</v>
      </c>
      <c r="L249" s="29">
        <v>9230</v>
      </c>
      <c r="M249" s="265">
        <v>16500</v>
      </c>
      <c r="N249" s="265">
        <v>12220</v>
      </c>
      <c r="O249" s="265">
        <v>14500</v>
      </c>
      <c r="P249" s="159">
        <f t="shared" si="52"/>
        <v>470557</v>
      </c>
    </row>
    <row r="250" spans="1:16" ht="15">
      <c r="A250" s="37">
        <v>6300</v>
      </c>
      <c r="B250" s="21" t="s">
        <v>217</v>
      </c>
      <c r="C250" s="29">
        <f>421300-33394-3350-2700</f>
        <v>381856</v>
      </c>
      <c r="D250" s="29"/>
      <c r="E250" s="29"/>
      <c r="F250" s="29"/>
      <c r="G250" s="29"/>
      <c r="H250" s="270">
        <v>5300</v>
      </c>
      <c r="I250" s="265">
        <v>2061</v>
      </c>
      <c r="J250" s="265">
        <v>3007</v>
      </c>
      <c r="K250" s="160">
        <v>16260</v>
      </c>
      <c r="L250" s="29">
        <v>1250</v>
      </c>
      <c r="M250" s="265">
        <v>300</v>
      </c>
      <c r="N250" s="265">
        <v>1700</v>
      </c>
      <c r="O250" s="265">
        <v>3000</v>
      </c>
      <c r="P250" s="159">
        <f t="shared" si="52"/>
        <v>414734</v>
      </c>
    </row>
    <row r="251" spans="1:16" ht="29.25">
      <c r="A251" s="37">
        <v>6400</v>
      </c>
      <c r="B251" s="21" t="s">
        <v>374</v>
      </c>
      <c r="C251" s="29">
        <f>111000+1600+2700</f>
        <v>115300</v>
      </c>
      <c r="D251" s="29"/>
      <c r="E251" s="29"/>
      <c r="F251" s="29"/>
      <c r="G251" s="29"/>
      <c r="H251" s="270">
        <v>9785</v>
      </c>
      <c r="I251" s="265">
        <v>11500</v>
      </c>
      <c r="J251" s="265"/>
      <c r="K251" s="160">
        <v>16100</v>
      </c>
      <c r="L251" s="29">
        <v>13700</v>
      </c>
      <c r="M251" s="265">
        <v>900</v>
      </c>
      <c r="N251" s="265">
        <v>2912</v>
      </c>
      <c r="O251" s="265">
        <v>15470</v>
      </c>
      <c r="P251" s="159">
        <f t="shared" si="52"/>
        <v>185667</v>
      </c>
    </row>
    <row r="252" spans="1:16" ht="29.25">
      <c r="A252" s="37">
        <v>7200</v>
      </c>
      <c r="B252" s="21" t="s">
        <v>375</v>
      </c>
      <c r="C252" s="29">
        <f>290576+35000</f>
        <v>325576</v>
      </c>
      <c r="D252" s="29"/>
      <c r="E252" s="29"/>
      <c r="F252" s="29"/>
      <c r="G252" s="29"/>
      <c r="H252" s="270"/>
      <c r="I252" s="265"/>
      <c r="J252" s="265"/>
      <c r="K252" s="160">
        <v>2200</v>
      </c>
      <c r="L252" s="29"/>
      <c r="M252" s="265">
        <v>6159</v>
      </c>
      <c r="N252" s="265"/>
      <c r="O252" s="265"/>
      <c r="P252" s="159">
        <f t="shared" si="52"/>
        <v>333935</v>
      </c>
    </row>
    <row r="253" spans="1:16" ht="15">
      <c r="A253" s="37">
        <v>8100</v>
      </c>
      <c r="B253" s="29" t="s">
        <v>219</v>
      </c>
      <c r="C253" s="29"/>
      <c r="D253" s="29"/>
      <c r="E253" s="29">
        <v>1</v>
      </c>
      <c r="F253" s="29"/>
      <c r="G253" s="29"/>
      <c r="H253" s="270">
        <v>120</v>
      </c>
      <c r="I253" s="265"/>
      <c r="J253" s="265">
        <v>0</v>
      </c>
      <c r="K253" s="160"/>
      <c r="L253" s="29"/>
      <c r="M253" s="265"/>
      <c r="N253" s="265"/>
      <c r="O253" s="270"/>
      <c r="P253" s="159">
        <f t="shared" si="52"/>
        <v>121</v>
      </c>
    </row>
    <row r="254" spans="1:16" ht="15.75" thickBot="1">
      <c r="A254" s="183">
        <v>9000</v>
      </c>
      <c r="B254" s="248" t="s">
        <v>421</v>
      </c>
      <c r="C254" s="249">
        <v>2841</v>
      </c>
      <c r="D254" s="249"/>
      <c r="E254" s="249"/>
      <c r="F254" s="249"/>
      <c r="G254" s="249"/>
      <c r="H254" s="266"/>
      <c r="I254" s="267"/>
      <c r="J254" s="266"/>
      <c r="K254" s="250"/>
      <c r="L254" s="249"/>
      <c r="M254" s="266"/>
      <c r="N254" s="266"/>
      <c r="O254" s="266"/>
      <c r="P254" s="159">
        <f t="shared" si="52"/>
        <v>2841</v>
      </c>
    </row>
    <row r="255" spans="1:16" ht="15.75" thickBot="1">
      <c r="A255" s="142"/>
      <c r="B255" s="173" t="s">
        <v>218</v>
      </c>
      <c r="C255" s="190">
        <f aca="true" t="shared" si="54" ref="C255:O255">SUM(C235:C237,C244:C254)</f>
        <v>18723729</v>
      </c>
      <c r="D255" s="190">
        <f t="shared" si="54"/>
        <v>10590185</v>
      </c>
      <c r="E255" s="190">
        <f t="shared" si="54"/>
        <v>674771</v>
      </c>
      <c r="F255" s="190">
        <f t="shared" si="54"/>
        <v>403665</v>
      </c>
      <c r="G255" s="190">
        <f t="shared" si="54"/>
        <v>253792</v>
      </c>
      <c r="H255" s="190">
        <f t="shared" si="54"/>
        <v>1516260</v>
      </c>
      <c r="I255" s="190">
        <f t="shared" si="54"/>
        <v>615726</v>
      </c>
      <c r="J255" s="190">
        <f t="shared" si="54"/>
        <v>543334</v>
      </c>
      <c r="K255" s="190">
        <f t="shared" si="54"/>
        <v>1795403</v>
      </c>
      <c r="L255" s="190">
        <f t="shared" si="54"/>
        <v>211029</v>
      </c>
      <c r="M255" s="190">
        <f t="shared" si="54"/>
        <v>231298</v>
      </c>
      <c r="N255" s="190">
        <f t="shared" si="54"/>
        <v>387931</v>
      </c>
      <c r="O255" s="190">
        <f t="shared" si="54"/>
        <v>561100</v>
      </c>
      <c r="P255" s="161">
        <f t="shared" si="52"/>
        <v>36508223</v>
      </c>
    </row>
    <row r="256" spans="2:7" ht="15">
      <c r="B256" s="162"/>
      <c r="C256" s="9"/>
      <c r="D256" s="150"/>
      <c r="E256" s="149"/>
      <c r="F256" s="149"/>
      <c r="G256" s="149"/>
    </row>
    <row r="257" spans="2:16" ht="15">
      <c r="B257" s="162"/>
      <c r="C257" s="9"/>
      <c r="D257" s="150"/>
      <c r="E257" s="149"/>
      <c r="F257" s="149"/>
      <c r="G257" s="149"/>
      <c r="P257" s="147"/>
    </row>
    <row r="258" spans="2:7" ht="15">
      <c r="B258" s="78" t="s">
        <v>22</v>
      </c>
      <c r="C258" s="9"/>
      <c r="D258" s="150"/>
      <c r="E258" s="149" t="s">
        <v>23</v>
      </c>
      <c r="F258" s="149"/>
      <c r="G258" s="149"/>
    </row>
    <row r="263" ht="15">
      <c r="B263" s="78"/>
    </row>
  </sheetData>
  <sheetProtection/>
  <mergeCells count="3">
    <mergeCell ref="A5:D5"/>
    <mergeCell ref="A233:D233"/>
    <mergeCell ref="A58:D58"/>
  </mergeCell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64" r:id="rId1"/>
  <rowBreaks count="2" manualBreakCount="2">
    <brk id="52" max="255" man="1"/>
    <brk id="2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7" sqref="C7"/>
    </sheetView>
  </sheetViews>
  <sheetFormatPr defaultColWidth="9.140625" defaultRowHeight="12.75"/>
  <cols>
    <col min="1" max="1" width="10.140625" style="277" customWidth="1"/>
    <col min="2" max="2" width="36.7109375" style="278" customWidth="1"/>
    <col min="3" max="3" width="10.28125" style="277" customWidth="1"/>
    <col min="4" max="4" width="9.7109375" style="277" customWidth="1"/>
    <col min="5" max="5" width="10.00390625" style="277" bestFit="1" customWidth="1"/>
    <col min="6" max="6" width="9.7109375" style="277" customWidth="1"/>
    <col min="7" max="7" width="10.7109375" style="277" customWidth="1"/>
    <col min="8" max="11" width="9.7109375" style="277" bestFit="1" customWidth="1"/>
    <col min="12" max="12" width="12.7109375" style="281" customWidth="1"/>
    <col min="13" max="16384" width="9.140625" style="277" customWidth="1"/>
  </cols>
  <sheetData>
    <row r="1" spans="4:10" ht="15">
      <c r="D1" s="279" t="s">
        <v>441</v>
      </c>
      <c r="E1" s="280"/>
      <c r="J1" s="280"/>
    </row>
    <row r="2" spans="1:4" ht="15">
      <c r="A2" s="282"/>
      <c r="D2" s="282" t="s">
        <v>439</v>
      </c>
    </row>
    <row r="3" spans="1:4" ht="15">
      <c r="A3" s="282"/>
      <c r="D3" s="282" t="s">
        <v>440</v>
      </c>
    </row>
    <row r="4" spans="1:11" ht="20.25">
      <c r="A4" s="283" t="s">
        <v>442</v>
      </c>
      <c r="B4" s="283"/>
      <c r="C4" s="283"/>
      <c r="J4" s="284"/>
      <c r="K4" s="284"/>
    </row>
    <row r="5" spans="1:3" ht="15.75" thickBot="1">
      <c r="A5" s="282"/>
      <c r="B5" s="285"/>
      <c r="C5" s="282"/>
    </row>
    <row r="6" spans="1:12" ht="83.25" customHeight="1" thickBot="1">
      <c r="A6" s="286" t="s">
        <v>10</v>
      </c>
      <c r="B6" s="287" t="s">
        <v>9</v>
      </c>
      <c r="C6" s="12" t="s">
        <v>386</v>
      </c>
      <c r="D6" s="288" t="s">
        <v>392</v>
      </c>
      <c r="E6" s="289" t="s">
        <v>393</v>
      </c>
      <c r="F6" s="185" t="s">
        <v>394</v>
      </c>
      <c r="G6" s="185" t="s">
        <v>395</v>
      </c>
      <c r="H6" s="185" t="s">
        <v>396</v>
      </c>
      <c r="I6" s="185" t="s">
        <v>397</v>
      </c>
      <c r="J6" s="185" t="s">
        <v>398</v>
      </c>
      <c r="K6" s="186" t="s">
        <v>399</v>
      </c>
      <c r="L6" s="290" t="s">
        <v>400</v>
      </c>
    </row>
    <row r="7" spans="1:13" ht="15">
      <c r="A7" s="291"/>
      <c r="B7" s="292" t="s">
        <v>24</v>
      </c>
      <c r="C7" s="293">
        <f>C8</f>
        <v>59513</v>
      </c>
      <c r="D7" s="293">
        <f aca="true" t="shared" si="0" ref="D7:K7">D8</f>
        <v>3386</v>
      </c>
      <c r="E7" s="293">
        <f t="shared" si="0"/>
        <v>3650</v>
      </c>
      <c r="F7" s="293">
        <f t="shared" si="0"/>
        <v>2000</v>
      </c>
      <c r="G7" s="293">
        <f t="shared" si="0"/>
        <v>14247</v>
      </c>
      <c r="H7" s="293">
        <f t="shared" si="0"/>
        <v>300</v>
      </c>
      <c r="I7" s="293">
        <f t="shared" si="0"/>
        <v>846</v>
      </c>
      <c r="J7" s="293">
        <f t="shared" si="0"/>
        <v>200</v>
      </c>
      <c r="K7" s="293">
        <f t="shared" si="0"/>
        <v>8455</v>
      </c>
      <c r="L7" s="294">
        <f aca="true" t="shared" si="1" ref="L7:L20">SUM(C7:K7)</f>
        <v>92597</v>
      </c>
      <c r="M7" s="295"/>
    </row>
    <row r="8" spans="1:12" ht="14.25">
      <c r="A8" s="296" t="s">
        <v>443</v>
      </c>
      <c r="B8" s="297" t="s">
        <v>444</v>
      </c>
      <c r="C8" s="298">
        <v>59513</v>
      </c>
      <c r="D8" s="298">
        <v>3386</v>
      </c>
      <c r="E8" s="298">
        <v>3650</v>
      </c>
      <c r="F8" s="298">
        <v>2000</v>
      </c>
      <c r="G8" s="298">
        <v>14247</v>
      </c>
      <c r="H8" s="298">
        <v>300</v>
      </c>
      <c r="I8" s="298">
        <v>846</v>
      </c>
      <c r="J8" s="298">
        <v>200</v>
      </c>
      <c r="K8" s="298">
        <v>8455</v>
      </c>
      <c r="L8" s="299">
        <f t="shared" si="1"/>
        <v>92597</v>
      </c>
    </row>
    <row r="9" spans="1:12" ht="15">
      <c r="A9" s="300"/>
      <c r="B9" s="301" t="s">
        <v>33</v>
      </c>
      <c r="C9" s="302">
        <f aca="true" t="shared" si="2" ref="C9:K9">SUM(C10:C11)</f>
        <v>120</v>
      </c>
      <c r="D9" s="303">
        <f t="shared" si="2"/>
        <v>4</v>
      </c>
      <c r="E9" s="303">
        <f t="shared" si="2"/>
        <v>0</v>
      </c>
      <c r="F9" s="303">
        <f t="shared" si="2"/>
        <v>0</v>
      </c>
      <c r="G9" s="303">
        <f t="shared" si="2"/>
        <v>0</v>
      </c>
      <c r="H9" s="303">
        <f t="shared" si="2"/>
        <v>5000</v>
      </c>
      <c r="I9" s="303">
        <f t="shared" si="2"/>
        <v>0</v>
      </c>
      <c r="J9" s="302">
        <f t="shared" si="2"/>
        <v>0</v>
      </c>
      <c r="K9" s="303">
        <f t="shared" si="2"/>
        <v>0</v>
      </c>
      <c r="L9" s="294">
        <f t="shared" si="1"/>
        <v>5124</v>
      </c>
    </row>
    <row r="10" spans="1:12" ht="28.5">
      <c r="A10" s="296" t="s">
        <v>445</v>
      </c>
      <c r="B10" s="297" t="s">
        <v>446</v>
      </c>
      <c r="C10" s="298">
        <v>120</v>
      </c>
      <c r="D10" s="304">
        <v>4</v>
      </c>
      <c r="E10" s="305"/>
      <c r="F10" s="306"/>
      <c r="G10" s="306"/>
      <c r="H10" s="306"/>
      <c r="I10" s="306"/>
      <c r="J10" s="306"/>
      <c r="K10" s="307"/>
      <c r="L10" s="299">
        <f>SUM(C10:K10)</f>
        <v>124</v>
      </c>
    </row>
    <row r="11" spans="1:12" ht="14.25">
      <c r="A11" s="296" t="s">
        <v>447</v>
      </c>
      <c r="B11" s="297" t="s">
        <v>448</v>
      </c>
      <c r="C11" s="298"/>
      <c r="D11" s="304"/>
      <c r="E11" s="305"/>
      <c r="F11" s="306"/>
      <c r="G11" s="306"/>
      <c r="H11" s="306">
        <v>5000</v>
      </c>
      <c r="I11" s="306"/>
      <c r="J11" s="306"/>
      <c r="K11" s="307"/>
      <c r="L11" s="299">
        <f t="shared" si="1"/>
        <v>5000</v>
      </c>
    </row>
    <row r="12" spans="1:12" s="281" customFormat="1" ht="45">
      <c r="A12" s="308" t="s">
        <v>449</v>
      </c>
      <c r="B12" s="309" t="s">
        <v>450</v>
      </c>
      <c r="C12" s="310">
        <v>423847</v>
      </c>
      <c r="D12" s="311"/>
      <c r="E12" s="312"/>
      <c r="F12" s="313"/>
      <c r="G12" s="314"/>
      <c r="H12" s="313"/>
      <c r="I12" s="313"/>
      <c r="J12" s="314"/>
      <c r="K12" s="313"/>
      <c r="L12" s="294">
        <f t="shared" si="1"/>
        <v>423847</v>
      </c>
    </row>
    <row r="13" spans="1:12" ht="15">
      <c r="A13" s="315" t="s">
        <v>43</v>
      </c>
      <c r="B13" s="301" t="s">
        <v>44</v>
      </c>
      <c r="C13" s="302">
        <f aca="true" t="shared" si="3" ref="C13:K13">SUM(C14,C17)</f>
        <v>0</v>
      </c>
      <c r="D13" s="302">
        <f t="shared" si="3"/>
        <v>906</v>
      </c>
      <c r="E13" s="302">
        <f t="shared" si="3"/>
        <v>0</v>
      </c>
      <c r="F13" s="302">
        <f t="shared" si="3"/>
        <v>0</v>
      </c>
      <c r="G13" s="302">
        <f t="shared" si="3"/>
        <v>0</v>
      </c>
      <c r="H13" s="302">
        <f t="shared" si="3"/>
        <v>0</v>
      </c>
      <c r="I13" s="302">
        <f t="shared" si="3"/>
        <v>0</v>
      </c>
      <c r="J13" s="302">
        <f t="shared" si="3"/>
        <v>0</v>
      </c>
      <c r="K13" s="302">
        <f t="shared" si="3"/>
        <v>0</v>
      </c>
      <c r="L13" s="294">
        <f t="shared" si="1"/>
        <v>906</v>
      </c>
    </row>
    <row r="14" spans="1:12" ht="60">
      <c r="A14" s="315" t="s">
        <v>45</v>
      </c>
      <c r="B14" s="32" t="s">
        <v>242</v>
      </c>
      <c r="C14" s="302">
        <f aca="true" t="shared" si="4" ref="C14:K14">SUM(C15:C16)</f>
        <v>0</v>
      </c>
      <c r="D14" s="302">
        <f t="shared" si="4"/>
        <v>906</v>
      </c>
      <c r="E14" s="302">
        <f t="shared" si="4"/>
        <v>0</v>
      </c>
      <c r="F14" s="302">
        <f t="shared" si="4"/>
        <v>0</v>
      </c>
      <c r="G14" s="302">
        <f t="shared" si="4"/>
        <v>0</v>
      </c>
      <c r="H14" s="302">
        <f t="shared" si="4"/>
        <v>0</v>
      </c>
      <c r="I14" s="302">
        <f t="shared" si="4"/>
        <v>0</v>
      </c>
      <c r="J14" s="302">
        <f t="shared" si="4"/>
        <v>0</v>
      </c>
      <c r="K14" s="302">
        <f t="shared" si="4"/>
        <v>0</v>
      </c>
      <c r="L14" s="294">
        <f t="shared" si="1"/>
        <v>906</v>
      </c>
    </row>
    <row r="15" spans="1:12" ht="57.75">
      <c r="A15" s="316" t="s">
        <v>166</v>
      </c>
      <c r="B15" s="297" t="s">
        <v>167</v>
      </c>
      <c r="C15" s="317"/>
      <c r="D15" s="302"/>
      <c r="E15" s="302"/>
      <c r="F15" s="302"/>
      <c r="G15" s="298"/>
      <c r="H15" s="302"/>
      <c r="I15" s="302"/>
      <c r="J15" s="302"/>
      <c r="K15" s="302"/>
      <c r="L15" s="299">
        <f>SUM(C15:K15)</f>
        <v>0</v>
      </c>
    </row>
    <row r="16" spans="1:12" ht="14.25">
      <c r="A16" s="316" t="s">
        <v>46</v>
      </c>
      <c r="B16" s="297" t="s">
        <v>47</v>
      </c>
      <c r="C16" s="298"/>
      <c r="D16" s="304">
        <v>906</v>
      </c>
      <c r="E16" s="318"/>
      <c r="F16" s="306"/>
      <c r="G16" s="306"/>
      <c r="H16" s="306"/>
      <c r="I16" s="306"/>
      <c r="J16" s="306"/>
      <c r="K16" s="307"/>
      <c r="L16" s="299">
        <f t="shared" si="1"/>
        <v>906</v>
      </c>
    </row>
    <row r="17" spans="1:12" s="327" customFormat="1" ht="30.75" thickBot="1">
      <c r="A17" s="319" t="s">
        <v>435</v>
      </c>
      <c r="B17" s="320" t="s">
        <v>49</v>
      </c>
      <c r="C17" s="321"/>
      <c r="D17" s="322"/>
      <c r="E17" s="323"/>
      <c r="F17" s="324"/>
      <c r="G17" s="324"/>
      <c r="H17" s="324"/>
      <c r="I17" s="324"/>
      <c r="J17" s="324"/>
      <c r="K17" s="325"/>
      <c r="L17" s="326">
        <f t="shared" si="1"/>
        <v>0</v>
      </c>
    </row>
    <row r="18" spans="1:14" ht="18.75" customHeight="1" thickBot="1">
      <c r="A18" s="328"/>
      <c r="B18" s="329" t="s">
        <v>50</v>
      </c>
      <c r="C18" s="330">
        <f aca="true" t="shared" si="5" ref="C18:K18">SUM(C7+C9+C12+C13)</f>
        <v>483480</v>
      </c>
      <c r="D18" s="330">
        <f t="shared" si="5"/>
        <v>4296</v>
      </c>
      <c r="E18" s="330">
        <f t="shared" si="5"/>
        <v>3650</v>
      </c>
      <c r="F18" s="330">
        <f t="shared" si="5"/>
        <v>2000</v>
      </c>
      <c r="G18" s="330">
        <f t="shared" si="5"/>
        <v>14247</v>
      </c>
      <c r="H18" s="330">
        <f t="shared" si="5"/>
        <v>5300</v>
      </c>
      <c r="I18" s="330">
        <f t="shared" si="5"/>
        <v>846</v>
      </c>
      <c r="J18" s="330">
        <f t="shared" si="5"/>
        <v>200</v>
      </c>
      <c r="K18" s="330">
        <f t="shared" si="5"/>
        <v>8455</v>
      </c>
      <c r="L18" s="331">
        <f t="shared" si="1"/>
        <v>522474</v>
      </c>
      <c r="M18" s="295"/>
      <c r="N18" s="332"/>
    </row>
    <row r="19" spans="1:12" ht="14.25">
      <c r="A19" s="333" t="s">
        <v>451</v>
      </c>
      <c r="B19" s="334" t="s">
        <v>402</v>
      </c>
      <c r="C19" s="335">
        <v>20415</v>
      </c>
      <c r="D19" s="335">
        <v>14821</v>
      </c>
      <c r="E19" s="335">
        <v>1759</v>
      </c>
      <c r="F19" s="335">
        <v>1266</v>
      </c>
      <c r="G19" s="335">
        <v>10692</v>
      </c>
      <c r="H19" s="335">
        <v>21137</v>
      </c>
      <c r="I19" s="335">
        <v>271</v>
      </c>
      <c r="J19" s="335">
        <v>954</v>
      </c>
      <c r="K19" s="335">
        <v>4257</v>
      </c>
      <c r="L19" s="299">
        <f t="shared" si="1"/>
        <v>75572</v>
      </c>
    </row>
    <row r="20" spans="1:12" ht="15">
      <c r="A20" s="336"/>
      <c r="B20" s="337" t="s">
        <v>53</v>
      </c>
      <c r="C20" s="338">
        <f aca="true" t="shared" si="6" ref="C20:K20">SUM(C18:C19)</f>
        <v>503895</v>
      </c>
      <c r="D20" s="338">
        <f t="shared" si="6"/>
        <v>19117</v>
      </c>
      <c r="E20" s="338">
        <f t="shared" si="6"/>
        <v>5409</v>
      </c>
      <c r="F20" s="338">
        <f t="shared" si="6"/>
        <v>3266</v>
      </c>
      <c r="G20" s="338">
        <f t="shared" si="6"/>
        <v>24939</v>
      </c>
      <c r="H20" s="338">
        <f t="shared" si="6"/>
        <v>26437</v>
      </c>
      <c r="I20" s="338">
        <f t="shared" si="6"/>
        <v>1117</v>
      </c>
      <c r="J20" s="338">
        <f t="shared" si="6"/>
        <v>1154</v>
      </c>
      <c r="K20" s="338">
        <f t="shared" si="6"/>
        <v>12712</v>
      </c>
      <c r="L20" s="294">
        <f t="shared" si="1"/>
        <v>598046</v>
      </c>
    </row>
    <row r="21" spans="2:5" ht="15">
      <c r="B21" s="339"/>
      <c r="E21" s="340"/>
    </row>
    <row r="22" spans="2:5" ht="29.25">
      <c r="B22" s="339" t="s">
        <v>22</v>
      </c>
      <c r="E22" s="340" t="s">
        <v>23</v>
      </c>
    </row>
    <row r="23" spans="1:5" ht="48" customHeight="1" thickBot="1">
      <c r="A23" s="472" t="s">
        <v>452</v>
      </c>
      <c r="B23" s="472"/>
      <c r="C23" s="472"/>
      <c r="D23" s="472"/>
      <c r="E23" s="472"/>
    </row>
    <row r="24" spans="1:12" ht="81.75" customHeight="1" thickBot="1">
      <c r="A24" s="286" t="s">
        <v>10</v>
      </c>
      <c r="B24" s="287" t="s">
        <v>9</v>
      </c>
      <c r="C24" s="12" t="s">
        <v>386</v>
      </c>
      <c r="D24" s="341" t="s">
        <v>392</v>
      </c>
      <c r="E24" s="289" t="s">
        <v>393</v>
      </c>
      <c r="F24" s="185" t="s">
        <v>394</v>
      </c>
      <c r="G24" s="185" t="s">
        <v>395</v>
      </c>
      <c r="H24" s="185" t="s">
        <v>396</v>
      </c>
      <c r="I24" s="185" t="s">
        <v>397</v>
      </c>
      <c r="J24" s="185" t="s">
        <v>398</v>
      </c>
      <c r="K24" s="186" t="s">
        <v>399</v>
      </c>
      <c r="L24" s="290" t="s">
        <v>400</v>
      </c>
    </row>
    <row r="25" spans="1:12" ht="15.75" thickBot="1">
      <c r="A25" s="342" t="s">
        <v>1</v>
      </c>
      <c r="B25" s="343" t="s">
        <v>69</v>
      </c>
      <c r="C25" s="344">
        <f aca="true" t="shared" si="7" ref="C25:K25">SUM(C26:C28)</f>
        <v>260450</v>
      </c>
      <c r="D25" s="344">
        <f t="shared" si="7"/>
        <v>29381</v>
      </c>
      <c r="E25" s="344">
        <f t="shared" si="7"/>
        <v>17256</v>
      </c>
      <c r="F25" s="344">
        <f t="shared" si="7"/>
        <v>25877</v>
      </c>
      <c r="G25" s="344">
        <f t="shared" si="7"/>
        <v>24978</v>
      </c>
      <c r="H25" s="344">
        <f t="shared" si="7"/>
        <v>19921</v>
      </c>
      <c r="I25" s="344">
        <f t="shared" si="7"/>
        <v>19568</v>
      </c>
      <c r="J25" s="344">
        <f t="shared" si="7"/>
        <v>13948</v>
      </c>
      <c r="K25" s="344">
        <f t="shared" si="7"/>
        <v>20171</v>
      </c>
      <c r="L25" s="331">
        <f>SUM(C25:K25)</f>
        <v>431550</v>
      </c>
    </row>
    <row r="26" spans="1:12" ht="28.5">
      <c r="A26" s="345" t="s">
        <v>453</v>
      </c>
      <c r="B26" s="297" t="s">
        <v>454</v>
      </c>
      <c r="C26" s="346"/>
      <c r="D26" s="346"/>
      <c r="E26" s="346"/>
      <c r="F26" s="346"/>
      <c r="G26" s="346"/>
      <c r="H26" s="346">
        <v>7000</v>
      </c>
      <c r="I26" s="346"/>
      <c r="J26" s="346"/>
      <c r="K26" s="346"/>
      <c r="L26" s="347">
        <f>SUM(C26:K26)</f>
        <v>7000</v>
      </c>
    </row>
    <row r="27" spans="1:12" ht="14.25">
      <c r="A27" s="348" t="s">
        <v>455</v>
      </c>
      <c r="B27" s="297" t="s">
        <v>456</v>
      </c>
      <c r="C27" s="349">
        <v>260450</v>
      </c>
      <c r="D27" s="349">
        <v>28471</v>
      </c>
      <c r="E27" s="349">
        <v>17256</v>
      </c>
      <c r="F27" s="349">
        <v>25877</v>
      </c>
      <c r="G27" s="349">
        <v>24978</v>
      </c>
      <c r="H27" s="349">
        <v>12921</v>
      </c>
      <c r="I27" s="349">
        <v>19568</v>
      </c>
      <c r="J27" s="349">
        <v>13948</v>
      </c>
      <c r="K27" s="349">
        <v>20171</v>
      </c>
      <c r="L27" s="350">
        <f>SUM(C27:K27)</f>
        <v>423640</v>
      </c>
    </row>
    <row r="28" spans="1:12" ht="15" thickBot="1">
      <c r="A28" s="351" t="s">
        <v>457</v>
      </c>
      <c r="B28" s="352" t="s">
        <v>458</v>
      </c>
      <c r="C28" s="353"/>
      <c r="D28" s="353">
        <v>910</v>
      </c>
      <c r="E28" s="353"/>
      <c r="F28" s="353"/>
      <c r="G28" s="353"/>
      <c r="H28" s="353"/>
      <c r="I28" s="353"/>
      <c r="J28" s="353"/>
      <c r="K28" s="353"/>
      <c r="L28" s="354">
        <f>SUM(C28:K28)</f>
        <v>910</v>
      </c>
    </row>
    <row r="29" spans="1:12" ht="15.75" thickBot="1">
      <c r="A29" s="342" t="s">
        <v>17</v>
      </c>
      <c r="B29" s="355" t="s">
        <v>82</v>
      </c>
      <c r="C29" s="344">
        <f>SUM(C30:C33)</f>
        <v>52674</v>
      </c>
      <c r="D29" s="344">
        <f>SUM(D30:D33)</f>
        <v>2600</v>
      </c>
      <c r="E29" s="344">
        <f aca="true" t="shared" si="8" ref="E29:K29">SUM(E30:E33)</f>
        <v>0</v>
      </c>
      <c r="F29" s="344">
        <f t="shared" si="8"/>
        <v>0</v>
      </c>
      <c r="G29" s="344">
        <f t="shared" si="8"/>
        <v>24854</v>
      </c>
      <c r="H29" s="344">
        <f t="shared" si="8"/>
        <v>0</v>
      </c>
      <c r="I29" s="344">
        <f t="shared" si="8"/>
        <v>363</v>
      </c>
      <c r="J29" s="344">
        <f t="shared" si="8"/>
        <v>0</v>
      </c>
      <c r="K29" s="344">
        <f t="shared" si="8"/>
        <v>2710</v>
      </c>
      <c r="L29" s="331">
        <f>SUM(C29:K29)</f>
        <v>83201</v>
      </c>
    </row>
    <row r="30" spans="1:12" ht="14.25">
      <c r="A30" s="345" t="s">
        <v>83</v>
      </c>
      <c r="B30" s="356" t="s">
        <v>84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50">
        <f aca="true" t="shared" si="9" ref="L30:L37">SUM(C30:K30)</f>
        <v>0</v>
      </c>
    </row>
    <row r="31" spans="1:12" ht="14.25">
      <c r="A31" s="348" t="s">
        <v>2</v>
      </c>
      <c r="B31" s="357" t="s">
        <v>85</v>
      </c>
      <c r="C31" s="349">
        <v>48139</v>
      </c>
      <c r="D31" s="349">
        <v>2600</v>
      </c>
      <c r="E31" s="349"/>
      <c r="F31" s="349"/>
      <c r="G31" s="349"/>
      <c r="H31" s="349"/>
      <c r="I31" s="349"/>
      <c r="J31" s="349"/>
      <c r="K31" s="349"/>
      <c r="L31" s="350">
        <f t="shared" si="9"/>
        <v>50739</v>
      </c>
    </row>
    <row r="32" spans="1:12" ht="28.5">
      <c r="A32" s="348" t="s">
        <v>282</v>
      </c>
      <c r="B32" s="357" t="s">
        <v>283</v>
      </c>
      <c r="C32" s="349"/>
      <c r="D32" s="349"/>
      <c r="E32" s="349"/>
      <c r="F32" s="349"/>
      <c r="G32" s="349">
        <v>24854</v>
      </c>
      <c r="H32" s="349"/>
      <c r="I32" s="349">
        <v>363</v>
      </c>
      <c r="J32" s="349"/>
      <c r="K32" s="349">
        <v>2710</v>
      </c>
      <c r="L32" s="350">
        <f t="shared" si="9"/>
        <v>27927</v>
      </c>
    </row>
    <row r="33" spans="1:12" ht="29.25" thickBot="1">
      <c r="A33" s="351" t="s">
        <v>285</v>
      </c>
      <c r="B33" s="358" t="s">
        <v>286</v>
      </c>
      <c r="C33" s="353">
        <v>4535</v>
      </c>
      <c r="D33" s="353"/>
      <c r="E33" s="353"/>
      <c r="F33" s="353"/>
      <c r="G33" s="353"/>
      <c r="H33" s="353"/>
      <c r="I33" s="353"/>
      <c r="J33" s="353"/>
      <c r="K33" s="353"/>
      <c r="L33" s="350">
        <f t="shared" si="9"/>
        <v>4535</v>
      </c>
    </row>
    <row r="34" spans="1:12" ht="30.75" thickBot="1">
      <c r="A34" s="359" t="s">
        <v>3</v>
      </c>
      <c r="B34" s="360" t="s">
        <v>87</v>
      </c>
      <c r="C34" s="361">
        <f>SUM(C35:C37)</f>
        <v>0</v>
      </c>
      <c r="D34" s="361">
        <f>SUM(D35:D37)</f>
        <v>5182</v>
      </c>
      <c r="E34" s="361">
        <f>SUM(E35:E37)</f>
        <v>703</v>
      </c>
      <c r="F34" s="361">
        <f>SUM(F35:F37)</f>
        <v>2900</v>
      </c>
      <c r="G34" s="361">
        <f>SUM(G35:G37)</f>
        <v>85</v>
      </c>
      <c r="H34" s="361">
        <f>SUM(H35:H36)</f>
        <v>0</v>
      </c>
      <c r="I34" s="361">
        <f>SUM(I35:I36)</f>
        <v>0</v>
      </c>
      <c r="J34" s="361">
        <f>SUM(J35:J36)</f>
        <v>0</v>
      </c>
      <c r="K34" s="361">
        <f>SUM(K35:K36)</f>
        <v>0</v>
      </c>
      <c r="L34" s="362">
        <f>SUM(C34:K34)</f>
        <v>8870</v>
      </c>
    </row>
    <row r="35" spans="1:12" s="368" customFormat="1" ht="14.25">
      <c r="A35" s="363" t="s">
        <v>89</v>
      </c>
      <c r="B35" s="364" t="s">
        <v>90</v>
      </c>
      <c r="C35" s="365"/>
      <c r="D35" s="365"/>
      <c r="E35" s="365"/>
      <c r="F35" s="365">
        <v>2900</v>
      </c>
      <c r="G35" s="365"/>
      <c r="H35" s="365"/>
      <c r="I35" s="365"/>
      <c r="J35" s="365"/>
      <c r="K35" s="366"/>
      <c r="L35" s="367">
        <f t="shared" si="9"/>
        <v>2900</v>
      </c>
    </row>
    <row r="36" spans="1:12" ht="14.25">
      <c r="A36" s="348" t="s">
        <v>91</v>
      </c>
      <c r="B36" s="357" t="s">
        <v>92</v>
      </c>
      <c r="C36" s="349"/>
      <c r="D36" s="349"/>
      <c r="E36" s="349">
        <v>230</v>
      </c>
      <c r="F36" s="349"/>
      <c r="G36" s="349">
        <v>85</v>
      </c>
      <c r="H36" s="349"/>
      <c r="I36" s="349"/>
      <c r="J36" s="349"/>
      <c r="K36" s="349"/>
      <c r="L36" s="350">
        <f t="shared" si="9"/>
        <v>315</v>
      </c>
    </row>
    <row r="37" spans="1:12" ht="43.5" thickBot="1">
      <c r="A37" s="119" t="s">
        <v>93</v>
      </c>
      <c r="B37" s="114" t="s">
        <v>94</v>
      </c>
      <c r="C37" s="353"/>
      <c r="D37" s="353">
        <v>5182</v>
      </c>
      <c r="E37" s="353">
        <v>473</v>
      </c>
      <c r="F37" s="353"/>
      <c r="G37" s="353"/>
      <c r="H37" s="353"/>
      <c r="I37" s="353"/>
      <c r="J37" s="353"/>
      <c r="K37" s="353"/>
      <c r="L37" s="350">
        <f t="shared" si="9"/>
        <v>5655</v>
      </c>
    </row>
    <row r="38" spans="1:14" ht="15.75" thickBot="1">
      <c r="A38" s="369"/>
      <c r="B38" s="370" t="s">
        <v>20</v>
      </c>
      <c r="C38" s="344">
        <f aca="true" t="shared" si="10" ref="C38:K38">C25+C29+C34</f>
        <v>313124</v>
      </c>
      <c r="D38" s="344">
        <f t="shared" si="10"/>
        <v>37163</v>
      </c>
      <c r="E38" s="344">
        <f t="shared" si="10"/>
        <v>17959</v>
      </c>
      <c r="F38" s="344">
        <f t="shared" si="10"/>
        <v>28777</v>
      </c>
      <c r="G38" s="344">
        <f t="shared" si="10"/>
        <v>49917</v>
      </c>
      <c r="H38" s="344">
        <f t="shared" si="10"/>
        <v>19921</v>
      </c>
      <c r="I38" s="344">
        <f t="shared" si="10"/>
        <v>19931</v>
      </c>
      <c r="J38" s="344">
        <f t="shared" si="10"/>
        <v>13948</v>
      </c>
      <c r="K38" s="344">
        <f t="shared" si="10"/>
        <v>22881</v>
      </c>
      <c r="L38" s="331">
        <f>SUM(C38:K38)</f>
        <v>523621</v>
      </c>
      <c r="M38" s="295"/>
      <c r="N38" s="332"/>
    </row>
    <row r="39" spans="1:12" ht="15">
      <c r="A39" s="371" t="s">
        <v>459</v>
      </c>
      <c r="B39" s="372" t="s">
        <v>21</v>
      </c>
      <c r="C39" s="373"/>
      <c r="D39" s="374"/>
      <c r="L39" s="375">
        <f>SUM(C39:K39)</f>
        <v>0</v>
      </c>
    </row>
    <row r="40" spans="1:12" ht="15">
      <c r="A40" s="277" t="s">
        <v>451</v>
      </c>
      <c r="B40" s="376" t="s">
        <v>460</v>
      </c>
      <c r="C40" s="332">
        <v>27329</v>
      </c>
      <c r="D40" s="277">
        <v>10425</v>
      </c>
      <c r="E40" s="277">
        <v>4891</v>
      </c>
      <c r="F40" s="277">
        <v>366</v>
      </c>
      <c r="H40" s="277">
        <v>19575</v>
      </c>
      <c r="I40" s="277">
        <v>754</v>
      </c>
      <c r="J40" s="277">
        <v>1118</v>
      </c>
      <c r="K40" s="277">
        <v>9967</v>
      </c>
      <c r="L40" s="375">
        <f>SUM(C40:K40)</f>
        <v>74425</v>
      </c>
    </row>
    <row r="41" spans="2:12" ht="15">
      <c r="B41" s="376"/>
      <c r="C41" s="332"/>
      <c r="L41" s="375"/>
    </row>
    <row r="42" spans="1:12" ht="29.25">
      <c r="A42" s="237" t="s">
        <v>368</v>
      </c>
      <c r="B42" s="377" t="s">
        <v>369</v>
      </c>
      <c r="C42" s="378">
        <f aca="true" t="shared" si="11" ref="C42:L42">C20-C40-C38-C39</f>
        <v>163442</v>
      </c>
      <c r="D42" s="378">
        <f t="shared" si="11"/>
        <v>-28471</v>
      </c>
      <c r="E42" s="378">
        <f t="shared" si="11"/>
        <v>-17441</v>
      </c>
      <c r="F42" s="379">
        <f t="shared" si="11"/>
        <v>-25877</v>
      </c>
      <c r="G42" s="379">
        <f t="shared" si="11"/>
        <v>-24978</v>
      </c>
      <c r="H42" s="378">
        <f t="shared" si="11"/>
        <v>-13059</v>
      </c>
      <c r="I42" s="378">
        <f t="shared" si="11"/>
        <v>-19568</v>
      </c>
      <c r="J42" s="378">
        <f t="shared" si="11"/>
        <v>-13912</v>
      </c>
      <c r="K42" s="378">
        <f t="shared" si="11"/>
        <v>-20136</v>
      </c>
      <c r="L42" s="378">
        <f t="shared" si="11"/>
        <v>0</v>
      </c>
    </row>
    <row r="43" ht="15">
      <c r="F43" s="277">
        <v>1551</v>
      </c>
    </row>
    <row r="44" spans="2:5" ht="29.25">
      <c r="B44" s="339" t="s">
        <v>22</v>
      </c>
      <c r="E44" s="340" t="s">
        <v>23</v>
      </c>
    </row>
    <row r="45" spans="1:6" ht="66" customHeight="1" thickBot="1">
      <c r="A45" s="473" t="s">
        <v>420</v>
      </c>
      <c r="B45" s="473"/>
      <c r="C45" s="473"/>
      <c r="D45" s="473"/>
      <c r="E45" s="473"/>
      <c r="F45" s="473"/>
    </row>
    <row r="46" spans="1:12" ht="87.75" customHeight="1" thickBot="1">
      <c r="A46" s="286" t="s">
        <v>10</v>
      </c>
      <c r="B46" s="287" t="s">
        <v>9</v>
      </c>
      <c r="C46" s="12" t="s">
        <v>386</v>
      </c>
      <c r="D46" s="341" t="s">
        <v>392</v>
      </c>
      <c r="E46" s="289" t="s">
        <v>393</v>
      </c>
      <c r="F46" s="185" t="s">
        <v>394</v>
      </c>
      <c r="G46" s="185" t="s">
        <v>395</v>
      </c>
      <c r="H46" s="185" t="s">
        <v>396</v>
      </c>
      <c r="I46" s="185" t="s">
        <v>397</v>
      </c>
      <c r="J46" s="185" t="s">
        <v>398</v>
      </c>
      <c r="K46" s="186" t="s">
        <v>399</v>
      </c>
      <c r="L46" s="290" t="s">
        <v>400</v>
      </c>
    </row>
    <row r="47" spans="1:12" ht="15">
      <c r="A47" s="380">
        <v>1100</v>
      </c>
      <c r="B47" s="381" t="s">
        <v>461</v>
      </c>
      <c r="C47" s="382">
        <v>5258</v>
      </c>
      <c r="D47" s="382">
        <v>4437</v>
      </c>
      <c r="E47" s="382">
        <v>715</v>
      </c>
      <c r="F47" s="382">
        <v>6340</v>
      </c>
      <c r="G47" s="382"/>
      <c r="H47" s="382"/>
      <c r="I47" s="382">
        <v>4700</v>
      </c>
      <c r="J47" s="382">
        <v>3500</v>
      </c>
      <c r="K47" s="383">
        <v>6160</v>
      </c>
      <c r="L47" s="384">
        <f>SUM(C47:K47)</f>
        <v>31110</v>
      </c>
    </row>
    <row r="48" spans="1:12" ht="60.75" thickBot="1">
      <c r="A48" s="385">
        <v>1200</v>
      </c>
      <c r="B48" s="386" t="s">
        <v>462</v>
      </c>
      <c r="C48" s="324">
        <v>1267</v>
      </c>
      <c r="D48" s="324">
        <v>1002</v>
      </c>
      <c r="E48" s="324">
        <v>171</v>
      </c>
      <c r="F48" s="324">
        <v>1927</v>
      </c>
      <c r="G48" s="324"/>
      <c r="H48" s="324"/>
      <c r="I48" s="324">
        <v>1267</v>
      </c>
      <c r="J48" s="324">
        <v>843</v>
      </c>
      <c r="K48" s="325">
        <v>1720</v>
      </c>
      <c r="L48" s="387">
        <f>SUM(C48:K48)</f>
        <v>8197</v>
      </c>
    </row>
    <row r="49" spans="1:12" ht="15.75" thickBot="1">
      <c r="A49" s="388">
        <v>2000</v>
      </c>
      <c r="B49" s="389" t="s">
        <v>208</v>
      </c>
      <c r="C49" s="390">
        <f aca="true" t="shared" si="12" ref="C49:H49">SUM(C50+C51+C52+C53)</f>
        <v>303099</v>
      </c>
      <c r="D49" s="390">
        <f t="shared" si="12"/>
        <v>26124</v>
      </c>
      <c r="E49" s="390">
        <f t="shared" si="12"/>
        <v>16651</v>
      </c>
      <c r="F49" s="390">
        <f t="shared" si="12"/>
        <v>20510</v>
      </c>
      <c r="G49" s="390">
        <f t="shared" si="12"/>
        <v>42623</v>
      </c>
      <c r="H49" s="390">
        <f t="shared" si="12"/>
        <v>19621</v>
      </c>
      <c r="I49" s="390">
        <f>I50+I51+I52+I53</f>
        <v>13964</v>
      </c>
      <c r="J49" s="390">
        <f>SUM(J50+J51+J52+J53)</f>
        <v>9605</v>
      </c>
      <c r="K49" s="391">
        <f>SUM(K50+K51+K52+K53)</f>
        <v>13001</v>
      </c>
      <c r="L49" s="392">
        <f>SUM(L50:L53)</f>
        <v>465198</v>
      </c>
    </row>
    <row r="50" spans="1:12" ht="15">
      <c r="A50" s="393">
        <v>2200</v>
      </c>
      <c r="B50" s="394" t="s">
        <v>209</v>
      </c>
      <c r="C50" s="395">
        <v>303099</v>
      </c>
      <c r="D50" s="395">
        <v>18824</v>
      </c>
      <c r="E50" s="395">
        <v>14344</v>
      </c>
      <c r="F50" s="396">
        <v>7837</v>
      </c>
      <c r="G50" s="396">
        <v>28343</v>
      </c>
      <c r="H50" s="395">
        <v>19621</v>
      </c>
      <c r="I50" s="395">
        <v>13664</v>
      </c>
      <c r="J50" s="395">
        <v>2500</v>
      </c>
      <c r="K50" s="397">
        <v>6480</v>
      </c>
      <c r="L50" s="398">
        <f aca="true" t="shared" si="13" ref="L50:L57">SUM(C50:K50)</f>
        <v>414712</v>
      </c>
    </row>
    <row r="51" spans="1:12" ht="45">
      <c r="A51" s="399">
        <v>2300</v>
      </c>
      <c r="B51" s="400" t="s">
        <v>210</v>
      </c>
      <c r="C51" s="401"/>
      <c r="D51" s="401">
        <v>7300</v>
      </c>
      <c r="E51" s="401">
        <v>2307</v>
      </c>
      <c r="F51" s="401">
        <v>12673</v>
      </c>
      <c r="G51" s="401">
        <v>13257</v>
      </c>
      <c r="H51" s="401"/>
      <c r="I51" s="401">
        <v>300</v>
      </c>
      <c r="J51" s="401">
        <v>7105</v>
      </c>
      <c r="K51" s="402">
        <v>6521</v>
      </c>
      <c r="L51" s="403">
        <f t="shared" si="13"/>
        <v>49463</v>
      </c>
    </row>
    <row r="52" spans="1:12" ht="15">
      <c r="A52" s="399">
        <v>2400</v>
      </c>
      <c r="B52" s="400" t="s">
        <v>211</v>
      </c>
      <c r="C52" s="401"/>
      <c r="D52" s="401"/>
      <c r="E52" s="401"/>
      <c r="F52" s="401"/>
      <c r="G52" s="401"/>
      <c r="H52" s="401"/>
      <c r="I52" s="401"/>
      <c r="J52" s="401"/>
      <c r="K52" s="402"/>
      <c r="L52" s="404">
        <f t="shared" si="13"/>
        <v>0</v>
      </c>
    </row>
    <row r="53" spans="1:12" ht="30">
      <c r="A53" s="399">
        <v>2500</v>
      </c>
      <c r="B53" s="400" t="s">
        <v>212</v>
      </c>
      <c r="C53" s="401"/>
      <c r="D53" s="401"/>
      <c r="E53" s="401"/>
      <c r="F53" s="401"/>
      <c r="G53" s="401">
        <v>1023</v>
      </c>
      <c r="H53" s="401"/>
      <c r="I53" s="401"/>
      <c r="J53" s="401"/>
      <c r="K53" s="402"/>
      <c r="L53" s="404">
        <f t="shared" si="13"/>
        <v>1023</v>
      </c>
    </row>
    <row r="54" spans="1:12" ht="45">
      <c r="A54" s="399">
        <v>3200</v>
      </c>
      <c r="B54" s="400" t="s">
        <v>463</v>
      </c>
      <c r="C54" s="405">
        <v>3500</v>
      </c>
      <c r="D54" s="401"/>
      <c r="E54" s="401"/>
      <c r="F54" s="401"/>
      <c r="G54" s="401"/>
      <c r="H54" s="401"/>
      <c r="I54" s="401"/>
      <c r="J54" s="401"/>
      <c r="K54" s="402"/>
      <c r="L54" s="404">
        <f t="shared" si="13"/>
        <v>3500</v>
      </c>
    </row>
    <row r="55" spans="1:12" ht="15">
      <c r="A55" s="399">
        <v>5100</v>
      </c>
      <c r="B55" s="400" t="s">
        <v>141</v>
      </c>
      <c r="C55" s="401"/>
      <c r="D55" s="401"/>
      <c r="E55" s="401"/>
      <c r="F55" s="401"/>
      <c r="G55" s="401"/>
      <c r="H55" s="401"/>
      <c r="I55" s="401"/>
      <c r="J55" s="401"/>
      <c r="K55" s="402"/>
      <c r="L55" s="404">
        <f>SUM(C55:K55)</f>
        <v>0</v>
      </c>
    </row>
    <row r="56" spans="1:12" ht="15">
      <c r="A56" s="399">
        <v>5200</v>
      </c>
      <c r="B56" s="400" t="s">
        <v>215</v>
      </c>
      <c r="C56" s="401"/>
      <c r="D56" s="401">
        <v>5600</v>
      </c>
      <c r="E56" s="401">
        <v>422</v>
      </c>
      <c r="F56" s="401"/>
      <c r="G56" s="401">
        <v>7294</v>
      </c>
      <c r="H56" s="401">
        <v>300</v>
      </c>
      <c r="I56" s="401"/>
      <c r="J56" s="401"/>
      <c r="K56" s="402">
        <v>2000</v>
      </c>
      <c r="L56" s="404">
        <f t="shared" si="13"/>
        <v>15616</v>
      </c>
    </row>
    <row r="57" spans="1:12" ht="30.75" customHeight="1" thickBot="1">
      <c r="A57" s="399">
        <v>7200</v>
      </c>
      <c r="B57" s="406" t="s">
        <v>464</v>
      </c>
      <c r="C57" s="407"/>
      <c r="D57" s="408"/>
      <c r="E57" s="408"/>
      <c r="F57" s="408"/>
      <c r="G57" s="408"/>
      <c r="H57" s="408"/>
      <c r="I57" s="408"/>
      <c r="J57" s="408"/>
      <c r="K57" s="409"/>
      <c r="L57" s="404">
        <f t="shared" si="13"/>
        <v>0</v>
      </c>
    </row>
    <row r="58" spans="1:12" ht="15.75" thickBot="1">
      <c r="A58" s="410"/>
      <c r="B58" s="411" t="s">
        <v>218</v>
      </c>
      <c r="C58" s="390">
        <f aca="true" t="shared" si="14" ref="C58:L58">SUM(C47:C49,C54:C57)</f>
        <v>313124</v>
      </c>
      <c r="D58" s="390">
        <f t="shared" si="14"/>
        <v>37163</v>
      </c>
      <c r="E58" s="390">
        <f t="shared" si="14"/>
        <v>17959</v>
      </c>
      <c r="F58" s="390">
        <f t="shared" si="14"/>
        <v>28777</v>
      </c>
      <c r="G58" s="390">
        <f t="shared" si="14"/>
        <v>49917</v>
      </c>
      <c r="H58" s="390">
        <f t="shared" si="14"/>
        <v>19921</v>
      </c>
      <c r="I58" s="390">
        <f t="shared" si="14"/>
        <v>19931</v>
      </c>
      <c r="J58" s="390">
        <f t="shared" si="14"/>
        <v>13948</v>
      </c>
      <c r="K58" s="391">
        <f t="shared" si="14"/>
        <v>22881</v>
      </c>
      <c r="L58" s="392">
        <f t="shared" si="14"/>
        <v>523621</v>
      </c>
    </row>
    <row r="59" ht="15">
      <c r="B59" s="277"/>
    </row>
    <row r="60" spans="1:4" ht="15">
      <c r="A60" s="374"/>
      <c r="B60" s="412"/>
      <c r="C60" s="373"/>
      <c r="D60" s="374"/>
    </row>
    <row r="61" spans="1:4" ht="15">
      <c r="A61" s="374"/>
      <c r="B61" s="412"/>
      <c r="C61" s="373"/>
      <c r="D61" s="374"/>
    </row>
    <row r="62" spans="1:5" ht="29.25">
      <c r="A62" s="374"/>
      <c r="B62" s="413" t="s">
        <v>22</v>
      </c>
      <c r="C62" s="373"/>
      <c r="D62" s="374"/>
      <c r="E62" s="340" t="s">
        <v>23</v>
      </c>
    </row>
    <row r="69" spans="1:3" ht="15">
      <c r="A69" s="282"/>
      <c r="B69" s="285"/>
      <c r="C69" s="282"/>
    </row>
    <row r="70" spans="1:4" ht="15">
      <c r="A70" s="414"/>
      <c r="B70" s="415"/>
      <c r="C70" s="416"/>
      <c r="D70" s="295"/>
    </row>
    <row r="71" spans="1:3" ht="15">
      <c r="A71" s="414"/>
      <c r="B71" s="415"/>
      <c r="C71" s="417"/>
    </row>
    <row r="72" ht="15">
      <c r="B72" s="339"/>
    </row>
    <row r="73" ht="15">
      <c r="B73" s="339"/>
    </row>
    <row r="74" ht="15">
      <c r="B74" s="339"/>
    </row>
    <row r="75" spans="1:2" ht="15">
      <c r="A75" s="414"/>
      <c r="B75" s="415"/>
    </row>
    <row r="76" spans="1:2" ht="15">
      <c r="A76" s="414"/>
      <c r="B76" s="415"/>
    </row>
    <row r="77" spans="1:2" ht="15">
      <c r="A77" s="418"/>
      <c r="B77" s="419"/>
    </row>
  </sheetData>
  <sheetProtection/>
  <mergeCells count="2">
    <mergeCell ref="A23:E23"/>
    <mergeCell ref="A45:F45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0" r:id="rId1"/>
  <rowBreaks count="2" manualBreakCount="2">
    <brk id="22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421875" style="421" customWidth="1"/>
    <col min="2" max="2" width="14.57421875" style="421" customWidth="1"/>
    <col min="3" max="3" width="13.421875" style="421" customWidth="1"/>
    <col min="4" max="4" width="12.28125" style="421" customWidth="1"/>
    <col min="5" max="5" width="13.00390625" style="421" customWidth="1"/>
    <col min="6" max="16384" width="9.140625" style="421" customWidth="1"/>
  </cols>
  <sheetData>
    <row r="1" spans="1:5" ht="18.75" customHeight="1">
      <c r="A1" s="474" t="s">
        <v>465</v>
      </c>
      <c r="B1" s="474"/>
      <c r="C1" s="474"/>
      <c r="D1" s="474"/>
      <c r="E1" s="474"/>
    </row>
    <row r="2" spans="1:5" s="422" customFormat="1" ht="18.75" customHeight="1">
      <c r="A2" s="475" t="s">
        <v>466</v>
      </c>
      <c r="B2" s="475"/>
      <c r="C2" s="475"/>
      <c r="D2" s="475"/>
      <c r="E2" s="475"/>
    </row>
    <row r="3" spans="1:5" ht="18.75" customHeight="1">
      <c r="A3" s="476" t="s">
        <v>467</v>
      </c>
      <c r="B3" s="476"/>
      <c r="C3" s="476"/>
      <c r="D3" s="476"/>
      <c r="E3" s="476"/>
    </row>
    <row r="4" spans="1:5" ht="36.75" customHeight="1">
      <c r="A4" s="477" t="s">
        <v>468</v>
      </c>
      <c r="B4" s="477" t="s">
        <v>469</v>
      </c>
      <c r="C4" s="477" t="s">
        <v>444</v>
      </c>
      <c r="D4" s="477" t="s">
        <v>470</v>
      </c>
      <c r="E4" s="479" t="s">
        <v>471</v>
      </c>
    </row>
    <row r="5" spans="1:5" ht="18" customHeight="1">
      <c r="A5" s="478"/>
      <c r="B5" s="478"/>
      <c r="C5" s="478"/>
      <c r="D5" s="478"/>
      <c r="E5" s="479"/>
    </row>
    <row r="6" spans="1:5" ht="18" customHeight="1">
      <c r="A6" s="423" t="s">
        <v>472</v>
      </c>
      <c r="B6" s="424">
        <v>260445</v>
      </c>
      <c r="C6" s="424">
        <v>59593</v>
      </c>
      <c r="D6" s="424"/>
      <c r="E6" s="424">
        <f aca="true" t="shared" si="0" ref="E6:E16">SUM(B6:D6)</f>
        <v>320038</v>
      </c>
    </row>
    <row r="7" spans="1:5" ht="24" customHeight="1">
      <c r="A7" s="425" t="s">
        <v>473</v>
      </c>
      <c r="B7" s="426">
        <v>5</v>
      </c>
      <c r="C7" s="427">
        <v>20410</v>
      </c>
      <c r="D7" s="426"/>
      <c r="E7" s="428">
        <f t="shared" si="0"/>
        <v>20415</v>
      </c>
    </row>
    <row r="8" spans="1:5" s="429" customFormat="1" ht="15.75">
      <c r="A8" s="423" t="s">
        <v>474</v>
      </c>
      <c r="B8" s="424">
        <f>SUM(B6:B7)</f>
        <v>260450</v>
      </c>
      <c r="C8" s="424">
        <f>SUM(C6:C7)</f>
        <v>80003</v>
      </c>
      <c r="D8" s="424">
        <f>SUM(D6:D7)</f>
        <v>0</v>
      </c>
      <c r="E8" s="424">
        <f t="shared" si="0"/>
        <v>340453</v>
      </c>
    </row>
    <row r="9" spans="1:5" ht="15.75">
      <c r="A9" s="430" t="s">
        <v>475</v>
      </c>
      <c r="B9" s="431">
        <f>SUM(B10:B16)</f>
        <v>260450</v>
      </c>
      <c r="C9" s="431">
        <f>SUM(C10:C16)</f>
        <v>52674</v>
      </c>
      <c r="D9" s="431">
        <f>SUM(D10:D16)</f>
        <v>0</v>
      </c>
      <c r="E9" s="431">
        <f t="shared" si="0"/>
        <v>313124</v>
      </c>
    </row>
    <row r="10" spans="1:5" ht="15.75">
      <c r="A10" s="432" t="s">
        <v>476</v>
      </c>
      <c r="B10" s="433">
        <v>5258</v>
      </c>
      <c r="C10" s="433"/>
      <c r="D10" s="434"/>
      <c r="E10" s="435">
        <f t="shared" si="0"/>
        <v>5258</v>
      </c>
    </row>
    <row r="11" spans="1:5" ht="15.75">
      <c r="A11" s="432" t="s">
        <v>477</v>
      </c>
      <c r="B11" s="433">
        <v>1267</v>
      </c>
      <c r="C11" s="433"/>
      <c r="D11" s="434"/>
      <c r="E11" s="435">
        <f t="shared" si="0"/>
        <v>1267</v>
      </c>
    </row>
    <row r="12" spans="1:5" ht="15.75">
      <c r="A12" s="432">
        <v>2200</v>
      </c>
      <c r="B12" s="433">
        <v>253925</v>
      </c>
      <c r="C12" s="433">
        <v>49174</v>
      </c>
      <c r="D12" s="434"/>
      <c r="E12" s="435">
        <f t="shared" si="0"/>
        <v>303099</v>
      </c>
    </row>
    <row r="13" spans="1:5" ht="15.75">
      <c r="A13" s="432">
        <v>2300</v>
      </c>
      <c r="B13" s="436"/>
      <c r="C13" s="433"/>
      <c r="D13" s="437"/>
      <c r="E13" s="435">
        <f t="shared" si="0"/>
        <v>0</v>
      </c>
    </row>
    <row r="14" spans="1:5" ht="15.75">
      <c r="A14" s="432">
        <v>2500</v>
      </c>
      <c r="B14" s="436"/>
      <c r="C14" s="433"/>
      <c r="D14" s="437"/>
      <c r="E14" s="435">
        <f t="shared" si="0"/>
        <v>0</v>
      </c>
    </row>
    <row r="15" spans="1:5" ht="15.75">
      <c r="A15" s="432">
        <v>3200</v>
      </c>
      <c r="B15" s="436"/>
      <c r="C15" s="433">
        <v>3500</v>
      </c>
      <c r="D15" s="437"/>
      <c r="E15" s="435">
        <f t="shared" si="0"/>
        <v>3500</v>
      </c>
    </row>
    <row r="16" spans="1:5" ht="15.75">
      <c r="A16" s="432">
        <v>5200</v>
      </c>
      <c r="B16" s="436"/>
      <c r="C16" s="436"/>
      <c r="D16" s="437"/>
      <c r="E16" s="435">
        <f t="shared" si="0"/>
        <v>0</v>
      </c>
    </row>
    <row r="17" spans="1:5" ht="15.75">
      <c r="A17" s="438" t="s">
        <v>478</v>
      </c>
      <c r="B17" s="439">
        <f>B8-B9</f>
        <v>0</v>
      </c>
      <c r="C17" s="439">
        <f>C8-C9</f>
        <v>27329</v>
      </c>
      <c r="D17" s="439">
        <f>D8-D9</f>
        <v>0</v>
      </c>
      <c r="E17" s="439">
        <f>E8-E9</f>
        <v>27329</v>
      </c>
    </row>
    <row r="21" spans="1:5" ht="15.75">
      <c r="A21" s="440" t="s">
        <v>479</v>
      </c>
      <c r="E21" s="440" t="s">
        <v>480</v>
      </c>
    </row>
    <row r="22" spans="1:5" ht="15.75">
      <c r="A22" s="440"/>
      <c r="E22" s="440"/>
    </row>
    <row r="23" spans="1:5" ht="15.75">
      <c r="A23" s="440"/>
      <c r="E23" s="440"/>
    </row>
    <row r="24" spans="1:5" s="422" customFormat="1" ht="18.75">
      <c r="A24" s="475" t="s">
        <v>481</v>
      </c>
      <c r="B24" s="475"/>
      <c r="C24" s="475"/>
      <c r="D24" s="475"/>
      <c r="E24" s="475"/>
    </row>
    <row r="25" spans="1:5" ht="18.75">
      <c r="A25" s="474" t="s">
        <v>482</v>
      </c>
      <c r="B25" s="474"/>
      <c r="C25" s="474"/>
      <c r="D25" s="474"/>
      <c r="E25" s="474"/>
    </row>
    <row r="26" spans="1:5" ht="18.75">
      <c r="A26" s="420"/>
      <c r="B26" s="420"/>
      <c r="C26" s="420"/>
      <c r="D26" s="420"/>
      <c r="E26" s="420"/>
    </row>
    <row r="27" spans="1:5" ht="12.75" customHeight="1">
      <c r="A27" s="477" t="s">
        <v>468</v>
      </c>
      <c r="B27" s="477" t="s">
        <v>469</v>
      </c>
      <c r="C27" s="477" t="s">
        <v>444</v>
      </c>
      <c r="D27" s="477" t="s">
        <v>470</v>
      </c>
      <c r="E27" s="477" t="s">
        <v>483</v>
      </c>
    </row>
    <row r="28" spans="1:5" ht="17.25" customHeight="1">
      <c r="A28" s="478"/>
      <c r="B28" s="478"/>
      <c r="C28" s="478"/>
      <c r="D28" s="478"/>
      <c r="E28" s="478"/>
    </row>
    <row r="29" spans="1:5" ht="15.75">
      <c r="A29" s="423" t="s">
        <v>472</v>
      </c>
      <c r="B29" s="424">
        <v>28471</v>
      </c>
      <c r="C29" s="424">
        <v>3386</v>
      </c>
      <c r="D29" s="424">
        <v>910</v>
      </c>
      <c r="E29" s="424">
        <f aca="true" t="shared" si="1" ref="E29:E37">SUM(B29:D29)</f>
        <v>32767</v>
      </c>
    </row>
    <row r="30" spans="1:5" ht="15.75">
      <c r="A30" s="425" t="s">
        <v>473</v>
      </c>
      <c r="B30" s="441"/>
      <c r="C30" s="442">
        <v>9639</v>
      </c>
      <c r="D30" s="441">
        <v>5182</v>
      </c>
      <c r="E30" s="428">
        <f t="shared" si="1"/>
        <v>14821</v>
      </c>
    </row>
    <row r="31" spans="1:5" ht="15.75">
      <c r="A31" s="423" t="s">
        <v>474</v>
      </c>
      <c r="B31" s="424">
        <f>SUM(B29:B30)</f>
        <v>28471</v>
      </c>
      <c r="C31" s="424">
        <f>SUM(C29:C30)</f>
        <v>13025</v>
      </c>
      <c r="D31" s="424">
        <f>SUM(D29:D30)</f>
        <v>6092</v>
      </c>
      <c r="E31" s="424">
        <f t="shared" si="1"/>
        <v>47588</v>
      </c>
    </row>
    <row r="32" spans="1:5" ht="15.75">
      <c r="A32" s="430" t="s">
        <v>475</v>
      </c>
      <c r="B32" s="431">
        <f>SUM(B33:B37)</f>
        <v>28471</v>
      </c>
      <c r="C32" s="431">
        <f>SUM(C33:C37)</f>
        <v>2600</v>
      </c>
      <c r="D32" s="431">
        <f>SUM(D33:D37)</f>
        <v>6092</v>
      </c>
      <c r="E32" s="431">
        <f t="shared" si="1"/>
        <v>37163</v>
      </c>
    </row>
    <row r="33" spans="1:5" ht="15">
      <c r="A33" s="443" t="s">
        <v>476</v>
      </c>
      <c r="B33" s="444">
        <v>4437</v>
      </c>
      <c r="C33" s="444"/>
      <c r="D33" s="445"/>
      <c r="E33" s="446">
        <f t="shared" si="1"/>
        <v>4437</v>
      </c>
    </row>
    <row r="34" spans="1:5" ht="15">
      <c r="A34" s="443" t="s">
        <v>477</v>
      </c>
      <c r="B34" s="444">
        <v>1002</v>
      </c>
      <c r="C34" s="444"/>
      <c r="D34" s="445"/>
      <c r="E34" s="446">
        <f t="shared" si="1"/>
        <v>1002</v>
      </c>
    </row>
    <row r="35" spans="1:5" ht="15">
      <c r="A35" s="443">
        <v>2200</v>
      </c>
      <c r="B35" s="444">
        <v>18142</v>
      </c>
      <c r="C35" s="444"/>
      <c r="D35" s="445">
        <v>682</v>
      </c>
      <c r="E35" s="446">
        <f t="shared" si="1"/>
        <v>18824</v>
      </c>
    </row>
    <row r="36" spans="1:5" ht="15">
      <c r="A36" s="443">
        <v>2300</v>
      </c>
      <c r="B36" s="444">
        <v>4890</v>
      </c>
      <c r="C36" s="444"/>
      <c r="D36" s="445">
        <v>2410</v>
      </c>
      <c r="E36" s="446">
        <f t="shared" si="1"/>
        <v>7300</v>
      </c>
    </row>
    <row r="37" spans="1:5" ht="15">
      <c r="A37" s="443">
        <v>5200</v>
      </c>
      <c r="B37" s="447"/>
      <c r="C37" s="444">
        <v>2600</v>
      </c>
      <c r="D37" s="445">
        <v>3000</v>
      </c>
      <c r="E37" s="446">
        <f t="shared" si="1"/>
        <v>5600</v>
      </c>
    </row>
    <row r="38" spans="1:5" ht="15.75">
      <c r="A38" s="438" t="s">
        <v>478</v>
      </c>
      <c r="B38" s="431">
        <f>B31-B32</f>
        <v>0</v>
      </c>
      <c r="C38" s="439">
        <f>C31-C32</f>
        <v>10425</v>
      </c>
      <c r="D38" s="439">
        <f>D31-D32</f>
        <v>0</v>
      </c>
      <c r="E38" s="424">
        <f>E31-E32</f>
        <v>10425</v>
      </c>
    </row>
    <row r="39" spans="1:5" ht="44.25" customHeight="1">
      <c r="A39" s="480" t="s">
        <v>484</v>
      </c>
      <c r="B39" s="480"/>
      <c r="C39" s="480"/>
      <c r="D39" s="480"/>
      <c r="E39" s="480"/>
    </row>
    <row r="40" spans="1:5" ht="15.75">
      <c r="A40" s="448"/>
      <c r="B40" s="448"/>
      <c r="C40" s="448"/>
      <c r="D40" s="448"/>
      <c r="E40" s="448"/>
    </row>
    <row r="41" spans="1:5" ht="18.75">
      <c r="A41" s="475" t="s">
        <v>485</v>
      </c>
      <c r="B41" s="475"/>
      <c r="C41" s="475"/>
      <c r="D41" s="475"/>
      <c r="E41" s="475"/>
    </row>
    <row r="42" spans="1:5" ht="18.75">
      <c r="A42" s="474" t="s">
        <v>482</v>
      </c>
      <c r="B42" s="474"/>
      <c r="C42" s="474"/>
      <c r="D42" s="474"/>
      <c r="E42" s="474"/>
    </row>
    <row r="43" spans="1:5" ht="12.75" customHeight="1">
      <c r="A43" s="477" t="s">
        <v>468</v>
      </c>
      <c r="B43" s="477" t="s">
        <v>469</v>
      </c>
      <c r="C43" s="477" t="s">
        <v>444</v>
      </c>
      <c r="D43" s="477" t="s">
        <v>470</v>
      </c>
      <c r="E43" s="477" t="s">
        <v>483</v>
      </c>
    </row>
    <row r="44" spans="1:5" ht="22.5" customHeight="1">
      <c r="A44" s="478"/>
      <c r="B44" s="478"/>
      <c r="C44" s="478"/>
      <c r="D44" s="478"/>
      <c r="E44" s="478"/>
    </row>
    <row r="45" spans="1:5" ht="17.25" customHeight="1">
      <c r="A45" s="423" t="s">
        <v>472</v>
      </c>
      <c r="B45" s="424">
        <v>24978</v>
      </c>
      <c r="C45" s="424">
        <v>14247</v>
      </c>
      <c r="D45" s="424"/>
      <c r="E45" s="424">
        <f aca="true" t="shared" si="2" ref="E45:E54">SUM(B45:D45)</f>
        <v>39225</v>
      </c>
    </row>
    <row r="46" spans="1:5" ht="15.75">
      <c r="A46" s="425" t="s">
        <v>473</v>
      </c>
      <c r="B46" s="441">
        <v>85</v>
      </c>
      <c r="C46" s="442">
        <v>10607</v>
      </c>
      <c r="D46" s="441"/>
      <c r="E46" s="428">
        <f t="shared" si="2"/>
        <v>10692</v>
      </c>
    </row>
    <row r="47" spans="1:5" ht="15.75">
      <c r="A47" s="423" t="s">
        <v>474</v>
      </c>
      <c r="B47" s="424">
        <f>SUM(B45:B46)</f>
        <v>25063</v>
      </c>
      <c r="C47" s="424">
        <f>SUM(C45:C46)</f>
        <v>24854</v>
      </c>
      <c r="D47" s="424">
        <f>SUM(D45:D46)</f>
        <v>0</v>
      </c>
      <c r="E47" s="424">
        <f t="shared" si="2"/>
        <v>49917</v>
      </c>
    </row>
    <row r="48" spans="1:5" ht="15.75">
      <c r="A48" s="430" t="s">
        <v>475</v>
      </c>
      <c r="B48" s="431">
        <f>SUM(B49:B54)</f>
        <v>25063</v>
      </c>
      <c r="C48" s="431">
        <f>SUM(C49:C54)</f>
        <v>24854</v>
      </c>
      <c r="D48" s="431">
        <f>SUM(D49:D53)</f>
        <v>0</v>
      </c>
      <c r="E48" s="431">
        <f t="shared" si="2"/>
        <v>49917</v>
      </c>
    </row>
    <row r="49" spans="1:5" ht="15">
      <c r="A49" s="443" t="s">
        <v>476</v>
      </c>
      <c r="B49" s="444"/>
      <c r="C49" s="444"/>
      <c r="D49" s="445"/>
      <c r="E49" s="446">
        <f t="shared" si="2"/>
        <v>0</v>
      </c>
    </row>
    <row r="50" spans="1:5" ht="15">
      <c r="A50" s="443" t="s">
        <v>477</v>
      </c>
      <c r="B50" s="444"/>
      <c r="C50" s="444"/>
      <c r="D50" s="445"/>
      <c r="E50" s="446">
        <f t="shared" si="2"/>
        <v>0</v>
      </c>
    </row>
    <row r="51" spans="1:5" ht="15">
      <c r="A51" s="443">
        <v>2200</v>
      </c>
      <c r="B51" s="444">
        <v>12591</v>
      </c>
      <c r="C51" s="444">
        <v>15752</v>
      </c>
      <c r="D51" s="445"/>
      <c r="E51" s="446">
        <f t="shared" si="2"/>
        <v>28343</v>
      </c>
    </row>
    <row r="52" spans="1:5" ht="15">
      <c r="A52" s="443">
        <v>2300</v>
      </c>
      <c r="B52" s="444">
        <v>11257</v>
      </c>
      <c r="C52" s="444">
        <v>2000</v>
      </c>
      <c r="D52" s="445"/>
      <c r="E52" s="446">
        <f t="shared" si="2"/>
        <v>13257</v>
      </c>
    </row>
    <row r="53" spans="1:5" ht="15">
      <c r="A53" s="443">
        <v>2500</v>
      </c>
      <c r="B53" s="444">
        <v>1023</v>
      </c>
      <c r="C53" s="447"/>
      <c r="D53" s="445"/>
      <c r="E53" s="446">
        <f t="shared" si="2"/>
        <v>1023</v>
      </c>
    </row>
    <row r="54" spans="1:5" ht="15">
      <c r="A54" s="443">
        <v>5200</v>
      </c>
      <c r="B54" s="444">
        <v>192</v>
      </c>
      <c r="C54" s="444">
        <v>7102</v>
      </c>
      <c r="D54" s="445"/>
      <c r="E54" s="446">
        <f t="shared" si="2"/>
        <v>7294</v>
      </c>
    </row>
    <row r="55" spans="1:5" ht="15.75">
      <c r="A55" s="438" t="s">
        <v>478</v>
      </c>
      <c r="B55" s="431">
        <f>B47-B48</f>
        <v>0</v>
      </c>
      <c r="C55" s="439">
        <f>C47-C48</f>
        <v>0</v>
      </c>
      <c r="D55" s="439">
        <f>D47-D48</f>
        <v>0</v>
      </c>
      <c r="E55" s="424">
        <f>E47-E48</f>
        <v>0</v>
      </c>
    </row>
    <row r="56" spans="1:5" ht="55.5" customHeight="1">
      <c r="A56" s="480" t="s">
        <v>486</v>
      </c>
      <c r="B56" s="480"/>
      <c r="C56" s="480"/>
      <c r="D56" s="480"/>
      <c r="E56" s="480"/>
    </row>
    <row r="57" spans="1:5" ht="18.75">
      <c r="A57" s="475" t="s">
        <v>487</v>
      </c>
      <c r="B57" s="475"/>
      <c r="C57" s="475"/>
      <c r="D57" s="475"/>
      <c r="E57" s="475"/>
    </row>
    <row r="58" spans="1:5" ht="18.75">
      <c r="A58" s="474" t="s">
        <v>482</v>
      </c>
      <c r="B58" s="474"/>
      <c r="C58" s="474"/>
      <c r="D58" s="474"/>
      <c r="E58" s="474"/>
    </row>
    <row r="59" spans="1:5" ht="9" customHeight="1">
      <c r="A59" s="420"/>
      <c r="B59" s="420"/>
      <c r="C59" s="420"/>
      <c r="D59" s="420"/>
      <c r="E59" s="420"/>
    </row>
    <row r="60" spans="1:5" ht="12.75" customHeight="1">
      <c r="A60" s="477" t="s">
        <v>468</v>
      </c>
      <c r="B60" s="477" t="s">
        <v>469</v>
      </c>
      <c r="C60" s="477" t="s">
        <v>444</v>
      </c>
      <c r="D60" s="477" t="s">
        <v>470</v>
      </c>
      <c r="E60" s="477" t="s">
        <v>483</v>
      </c>
    </row>
    <row r="61" spans="1:5" ht="19.5" customHeight="1">
      <c r="A61" s="478"/>
      <c r="B61" s="478"/>
      <c r="C61" s="478"/>
      <c r="D61" s="478"/>
      <c r="E61" s="478"/>
    </row>
    <row r="62" spans="1:5" ht="15.75">
      <c r="A62" s="423" t="s">
        <v>472</v>
      </c>
      <c r="B62" s="424">
        <v>13912</v>
      </c>
      <c r="C62" s="424">
        <v>200</v>
      </c>
      <c r="D62" s="424"/>
      <c r="E62" s="424">
        <f aca="true" t="shared" si="3" ref="E62:E70">SUM(B62:D62)</f>
        <v>14112</v>
      </c>
    </row>
    <row r="63" spans="1:5" ht="15.75">
      <c r="A63" s="425" t="s">
        <v>473</v>
      </c>
      <c r="B63" s="441">
        <v>36</v>
      </c>
      <c r="C63" s="442">
        <v>918</v>
      </c>
      <c r="D63" s="441"/>
      <c r="E63" s="428">
        <f t="shared" si="3"/>
        <v>954</v>
      </c>
    </row>
    <row r="64" spans="1:5" ht="15.75">
      <c r="A64" s="423" t="s">
        <v>474</v>
      </c>
      <c r="B64" s="424">
        <f>SUM(B62:B63)</f>
        <v>13948</v>
      </c>
      <c r="C64" s="424">
        <f>SUM(C62:C63)</f>
        <v>1118</v>
      </c>
      <c r="D64" s="424">
        <f>SUM(D62:D63)</f>
        <v>0</v>
      </c>
      <c r="E64" s="424">
        <f t="shared" si="3"/>
        <v>15066</v>
      </c>
    </row>
    <row r="65" spans="1:5" ht="15.75">
      <c r="A65" s="430" t="s">
        <v>475</v>
      </c>
      <c r="B65" s="431">
        <f>SUM(B66:B70)</f>
        <v>13948</v>
      </c>
      <c r="C65" s="431">
        <f>SUM(C66:C70)</f>
        <v>0</v>
      </c>
      <c r="D65" s="431">
        <f>SUM(D66:D70)</f>
        <v>0</v>
      </c>
      <c r="E65" s="431">
        <f t="shared" si="3"/>
        <v>13948</v>
      </c>
    </row>
    <row r="66" spans="1:5" ht="15">
      <c r="A66" s="443" t="s">
        <v>476</v>
      </c>
      <c r="B66" s="444">
        <v>3500</v>
      </c>
      <c r="C66" s="444"/>
      <c r="D66" s="445"/>
      <c r="E66" s="446">
        <f t="shared" si="3"/>
        <v>3500</v>
      </c>
    </row>
    <row r="67" spans="1:5" ht="15">
      <c r="A67" s="443" t="s">
        <v>477</v>
      </c>
      <c r="B67" s="444">
        <v>843</v>
      </c>
      <c r="C67" s="444"/>
      <c r="D67" s="445"/>
      <c r="E67" s="446">
        <f t="shared" si="3"/>
        <v>843</v>
      </c>
    </row>
    <row r="68" spans="1:5" ht="15">
      <c r="A68" s="443">
        <v>2200</v>
      </c>
      <c r="B68" s="444">
        <v>2500</v>
      </c>
      <c r="C68" s="444"/>
      <c r="D68" s="445"/>
      <c r="E68" s="446">
        <f t="shared" si="3"/>
        <v>2500</v>
      </c>
    </row>
    <row r="69" spans="1:5" ht="15">
      <c r="A69" s="443">
        <v>2300</v>
      </c>
      <c r="B69" s="444">
        <v>7105</v>
      </c>
      <c r="C69" s="444"/>
      <c r="D69" s="445"/>
      <c r="E69" s="446">
        <f t="shared" si="3"/>
        <v>7105</v>
      </c>
    </row>
    <row r="70" spans="1:5" ht="15">
      <c r="A70" s="443">
        <v>5200</v>
      </c>
      <c r="B70" s="447"/>
      <c r="C70" s="447"/>
      <c r="D70" s="445"/>
      <c r="E70" s="446">
        <f t="shared" si="3"/>
        <v>0</v>
      </c>
    </row>
    <row r="71" spans="1:5" ht="15.75">
      <c r="A71" s="438" t="s">
        <v>478</v>
      </c>
      <c r="B71" s="431">
        <f>B64-B65</f>
        <v>0</v>
      </c>
      <c r="C71" s="439">
        <f>C64-C65</f>
        <v>1118</v>
      </c>
      <c r="D71" s="439">
        <f>D64-D65</f>
        <v>0</v>
      </c>
      <c r="E71" s="424">
        <f>E64-E65</f>
        <v>1118</v>
      </c>
    </row>
    <row r="72" spans="1:5" ht="54" customHeight="1">
      <c r="A72" s="480" t="s">
        <v>488</v>
      </c>
      <c r="B72" s="480"/>
      <c r="C72" s="480"/>
      <c r="D72" s="480"/>
      <c r="E72" s="480"/>
    </row>
    <row r="73" spans="1:5" ht="9.75" customHeight="1">
      <c r="A73" s="448"/>
      <c r="B73" s="448"/>
      <c r="C73" s="448"/>
      <c r="D73" s="448"/>
      <c r="E73" s="448"/>
    </row>
    <row r="74" spans="1:5" s="422" customFormat="1" ht="18.75">
      <c r="A74" s="475" t="s">
        <v>489</v>
      </c>
      <c r="B74" s="475"/>
      <c r="C74" s="475"/>
      <c r="D74" s="475"/>
      <c r="E74" s="475"/>
    </row>
    <row r="75" spans="1:5" ht="18.75">
      <c r="A75" s="474" t="s">
        <v>482</v>
      </c>
      <c r="B75" s="474"/>
      <c r="C75" s="474"/>
      <c r="D75" s="474"/>
      <c r="E75" s="474"/>
    </row>
    <row r="76" spans="1:5" ht="7.5" customHeight="1">
      <c r="A76" s="420"/>
      <c r="B76" s="420"/>
      <c r="C76" s="420"/>
      <c r="D76" s="420"/>
      <c r="E76" s="420"/>
    </row>
    <row r="77" spans="1:5" ht="12.75" customHeight="1">
      <c r="A77" s="477" t="s">
        <v>468</v>
      </c>
      <c r="B77" s="477" t="s">
        <v>469</v>
      </c>
      <c r="C77" s="477" t="s">
        <v>444</v>
      </c>
      <c r="D77" s="477" t="s">
        <v>470</v>
      </c>
      <c r="E77" s="477" t="s">
        <v>483</v>
      </c>
    </row>
    <row r="78" spans="1:5" ht="24" customHeight="1">
      <c r="A78" s="478"/>
      <c r="B78" s="478"/>
      <c r="C78" s="478"/>
      <c r="D78" s="478"/>
      <c r="E78" s="478"/>
    </row>
    <row r="79" spans="1:5" ht="15.75">
      <c r="A79" s="423" t="s">
        <v>472</v>
      </c>
      <c r="B79" s="424">
        <v>25877</v>
      </c>
      <c r="C79" s="424">
        <v>2000</v>
      </c>
      <c r="D79" s="424"/>
      <c r="E79" s="424">
        <f aca="true" t="shared" si="4" ref="E79:E87">SUM(B79:D79)</f>
        <v>27877</v>
      </c>
    </row>
    <row r="80" spans="1:5" ht="15.75">
      <c r="A80" s="425" t="s">
        <v>473</v>
      </c>
      <c r="B80" s="441"/>
      <c r="C80" s="442">
        <v>1266</v>
      </c>
      <c r="D80" s="441"/>
      <c r="E80" s="428">
        <f t="shared" si="4"/>
        <v>1266</v>
      </c>
    </row>
    <row r="81" spans="1:5" ht="15.75">
      <c r="A81" s="423" t="s">
        <v>474</v>
      </c>
      <c r="B81" s="424">
        <f>SUM(B79:B80)</f>
        <v>25877</v>
      </c>
      <c r="C81" s="424">
        <f>SUM(C79:C80)</f>
        <v>3266</v>
      </c>
      <c r="D81" s="424">
        <f>SUM(D79:D80)</f>
        <v>0</v>
      </c>
      <c r="E81" s="424">
        <f t="shared" si="4"/>
        <v>29143</v>
      </c>
    </row>
    <row r="82" spans="1:5" ht="15.75">
      <c r="A82" s="430" t="s">
        <v>475</v>
      </c>
      <c r="B82" s="431">
        <f>SUM(B83:B87)</f>
        <v>25877</v>
      </c>
      <c r="C82" s="431">
        <f>SUM(C83:C87)</f>
        <v>2900</v>
      </c>
      <c r="D82" s="431">
        <f>SUM(D83:D87)</f>
        <v>0</v>
      </c>
      <c r="E82" s="431">
        <f t="shared" si="4"/>
        <v>28777</v>
      </c>
    </row>
    <row r="83" spans="1:5" ht="15">
      <c r="A83" s="443" t="s">
        <v>476</v>
      </c>
      <c r="B83" s="444">
        <v>6340</v>
      </c>
      <c r="C83" s="444"/>
      <c r="D83" s="445"/>
      <c r="E83" s="446">
        <f t="shared" si="4"/>
        <v>6340</v>
      </c>
    </row>
    <row r="84" spans="1:5" ht="15">
      <c r="A84" s="443" t="s">
        <v>477</v>
      </c>
      <c r="B84" s="444">
        <v>1927</v>
      </c>
      <c r="C84" s="444"/>
      <c r="D84" s="445"/>
      <c r="E84" s="446">
        <f t="shared" si="4"/>
        <v>1927</v>
      </c>
    </row>
    <row r="85" spans="1:5" ht="15">
      <c r="A85" s="443">
        <v>2200</v>
      </c>
      <c r="B85" s="444">
        <v>5237</v>
      </c>
      <c r="C85" s="444">
        <v>2600</v>
      </c>
      <c r="D85" s="445"/>
      <c r="E85" s="446">
        <f t="shared" si="4"/>
        <v>7837</v>
      </c>
    </row>
    <row r="86" spans="1:5" ht="15">
      <c r="A86" s="443">
        <v>2300</v>
      </c>
      <c r="B86" s="444">
        <v>12373</v>
      </c>
      <c r="C86" s="444">
        <v>300</v>
      </c>
      <c r="D86" s="445"/>
      <c r="E86" s="446">
        <f t="shared" si="4"/>
        <v>12673</v>
      </c>
    </row>
    <row r="87" spans="1:5" ht="15">
      <c r="A87" s="443">
        <v>5200</v>
      </c>
      <c r="B87" s="447"/>
      <c r="C87" s="444"/>
      <c r="D87" s="445"/>
      <c r="E87" s="446">
        <f t="shared" si="4"/>
        <v>0</v>
      </c>
    </row>
    <row r="88" spans="1:5" ht="15.75">
      <c r="A88" s="438" t="s">
        <v>478</v>
      </c>
      <c r="B88" s="431">
        <f>B81-B82</f>
        <v>0</v>
      </c>
      <c r="C88" s="439">
        <f>C81-C82</f>
        <v>366</v>
      </c>
      <c r="D88" s="439">
        <f>D81-D82</f>
        <v>0</v>
      </c>
      <c r="E88" s="424">
        <f>E81-E82</f>
        <v>366</v>
      </c>
    </row>
    <row r="89" spans="1:5" ht="15.75">
      <c r="A89" s="449" t="s">
        <v>490</v>
      </c>
      <c r="B89" s="450"/>
      <c r="C89" s="451"/>
      <c r="D89" s="452"/>
      <c r="E89" s="453">
        <f>SUM(B89:D89)</f>
        <v>0</v>
      </c>
    </row>
    <row r="90" spans="1:5" ht="46.5" customHeight="1">
      <c r="A90" s="481" t="s">
        <v>491</v>
      </c>
      <c r="B90" s="481"/>
      <c r="C90" s="481"/>
      <c r="D90" s="481"/>
      <c r="E90" s="481"/>
    </row>
    <row r="91" spans="1:5" s="422" customFormat="1" ht="18.75">
      <c r="A91" s="475" t="s">
        <v>492</v>
      </c>
      <c r="B91" s="475"/>
      <c r="C91" s="475"/>
      <c r="D91" s="475"/>
      <c r="E91" s="475"/>
    </row>
    <row r="92" spans="1:5" ht="18.75">
      <c r="A92" s="474" t="s">
        <v>482</v>
      </c>
      <c r="B92" s="474"/>
      <c r="C92" s="474"/>
      <c r="D92" s="474"/>
      <c r="E92" s="474"/>
    </row>
    <row r="93" spans="1:5" ht="18.75">
      <c r="A93" s="420"/>
      <c r="B93" s="420"/>
      <c r="C93" s="420"/>
      <c r="D93" s="420"/>
      <c r="E93" s="420"/>
    </row>
    <row r="94" spans="1:5" ht="12.75">
      <c r="A94" s="477" t="s">
        <v>468</v>
      </c>
      <c r="B94" s="477" t="s">
        <v>469</v>
      </c>
      <c r="C94" s="477" t="s">
        <v>444</v>
      </c>
      <c r="D94" s="477" t="s">
        <v>470</v>
      </c>
      <c r="E94" s="477" t="s">
        <v>483</v>
      </c>
    </row>
    <row r="95" spans="1:5" ht="19.5" customHeight="1">
      <c r="A95" s="478"/>
      <c r="B95" s="478"/>
      <c r="C95" s="478"/>
      <c r="D95" s="478"/>
      <c r="E95" s="478"/>
    </row>
    <row r="96" spans="1:5" ht="15.75">
      <c r="A96" s="423" t="s">
        <v>472</v>
      </c>
      <c r="B96" s="424">
        <v>20136</v>
      </c>
      <c r="C96" s="424">
        <v>8455</v>
      </c>
      <c r="D96" s="424"/>
      <c r="E96" s="424">
        <f aca="true" t="shared" si="5" ref="E96:E104">SUM(B96:D96)</f>
        <v>28591</v>
      </c>
    </row>
    <row r="97" spans="1:5" ht="15.75">
      <c r="A97" s="425" t="s">
        <v>473</v>
      </c>
      <c r="B97" s="441">
        <v>2095</v>
      </c>
      <c r="C97" s="442">
        <v>2162</v>
      </c>
      <c r="D97" s="441"/>
      <c r="E97" s="428">
        <f t="shared" si="5"/>
        <v>4257</v>
      </c>
    </row>
    <row r="98" spans="1:5" ht="15.75">
      <c r="A98" s="423" t="s">
        <v>474</v>
      </c>
      <c r="B98" s="424">
        <f>SUM(B96:B97)</f>
        <v>22231</v>
      </c>
      <c r="C98" s="424">
        <f>SUM(C96:C97)</f>
        <v>10617</v>
      </c>
      <c r="D98" s="424">
        <f>SUM(D96:D97)</f>
        <v>0</v>
      </c>
      <c r="E98" s="424">
        <f t="shared" si="5"/>
        <v>32848</v>
      </c>
    </row>
    <row r="99" spans="1:5" ht="15.75">
      <c r="A99" s="430" t="s">
        <v>475</v>
      </c>
      <c r="B99" s="431">
        <f>SUM(B100:B104)</f>
        <v>20171</v>
      </c>
      <c r="C99" s="431">
        <f>SUM(C100:C104)</f>
        <v>2710</v>
      </c>
      <c r="D99" s="431">
        <f>SUM(D100:D104)</f>
        <v>0</v>
      </c>
      <c r="E99" s="431">
        <f t="shared" si="5"/>
        <v>22881</v>
      </c>
    </row>
    <row r="100" spans="1:5" ht="15">
      <c r="A100" s="443" t="s">
        <v>476</v>
      </c>
      <c r="B100" s="444">
        <v>6160</v>
      </c>
      <c r="C100" s="444"/>
      <c r="D100" s="445"/>
      <c r="E100" s="446">
        <f t="shared" si="5"/>
        <v>6160</v>
      </c>
    </row>
    <row r="101" spans="1:5" ht="15">
      <c r="A101" s="443" t="s">
        <v>477</v>
      </c>
      <c r="B101" s="444">
        <v>1720</v>
      </c>
      <c r="C101" s="444"/>
      <c r="D101" s="445"/>
      <c r="E101" s="446">
        <f t="shared" si="5"/>
        <v>1720</v>
      </c>
    </row>
    <row r="102" spans="1:5" ht="15">
      <c r="A102" s="443">
        <v>2200</v>
      </c>
      <c r="B102" s="444">
        <v>3770</v>
      </c>
      <c r="C102" s="444">
        <v>2710</v>
      </c>
      <c r="D102" s="445"/>
      <c r="E102" s="446">
        <f t="shared" si="5"/>
        <v>6480</v>
      </c>
    </row>
    <row r="103" spans="1:5" ht="15">
      <c r="A103" s="443">
        <v>2300</v>
      </c>
      <c r="B103" s="444">
        <v>6521</v>
      </c>
      <c r="C103" s="444"/>
      <c r="D103" s="445"/>
      <c r="E103" s="446">
        <f t="shared" si="5"/>
        <v>6521</v>
      </c>
    </row>
    <row r="104" spans="1:5" ht="15">
      <c r="A104" s="443">
        <v>5200</v>
      </c>
      <c r="B104" s="444">
        <v>2000</v>
      </c>
      <c r="C104" s="447"/>
      <c r="D104" s="445"/>
      <c r="E104" s="446">
        <f t="shared" si="5"/>
        <v>2000</v>
      </c>
    </row>
    <row r="105" spans="1:5" ht="15.75">
      <c r="A105" s="438" t="s">
        <v>478</v>
      </c>
      <c r="B105" s="431">
        <f>B98-B99</f>
        <v>2060</v>
      </c>
      <c r="C105" s="439">
        <f>C98-C99</f>
        <v>7907</v>
      </c>
      <c r="D105" s="439">
        <f>D98-D99</f>
        <v>0</v>
      </c>
      <c r="E105" s="424">
        <f>E98-E99</f>
        <v>9967</v>
      </c>
    </row>
    <row r="106" spans="1:5" ht="47.25" customHeight="1">
      <c r="A106" s="480" t="s">
        <v>493</v>
      </c>
      <c r="B106" s="480"/>
      <c r="C106" s="480"/>
      <c r="D106" s="480"/>
      <c r="E106" s="480"/>
    </row>
    <row r="107" spans="1:5" ht="15.75">
      <c r="A107" s="448"/>
      <c r="B107" s="448"/>
      <c r="C107" s="448"/>
      <c r="D107" s="448"/>
      <c r="E107" s="448"/>
    </row>
    <row r="108" spans="1:5" ht="18.75">
      <c r="A108" s="482" t="s">
        <v>494</v>
      </c>
      <c r="B108" s="482"/>
      <c r="C108" s="482"/>
      <c r="D108" s="482"/>
      <c r="E108" s="482"/>
    </row>
    <row r="109" spans="1:5" ht="18.75">
      <c r="A109" s="482" t="s">
        <v>482</v>
      </c>
      <c r="B109" s="482"/>
      <c r="C109" s="482"/>
      <c r="D109" s="482"/>
      <c r="E109" s="482"/>
    </row>
    <row r="110" spans="1:5" ht="11.25" customHeight="1">
      <c r="A110" s="454"/>
      <c r="B110" s="454"/>
      <c r="C110" s="454"/>
      <c r="D110" s="454"/>
      <c r="E110" s="454"/>
    </row>
    <row r="111" spans="1:5" ht="12.75">
      <c r="A111" s="477" t="s">
        <v>468</v>
      </c>
      <c r="B111" s="477" t="s">
        <v>469</v>
      </c>
      <c r="C111" s="477" t="s">
        <v>444</v>
      </c>
      <c r="D111" s="477" t="s">
        <v>470</v>
      </c>
      <c r="E111" s="477" t="s">
        <v>483</v>
      </c>
    </row>
    <row r="112" spans="1:5" ht="22.5" customHeight="1">
      <c r="A112" s="478"/>
      <c r="B112" s="478"/>
      <c r="C112" s="478"/>
      <c r="D112" s="478"/>
      <c r="E112" s="478"/>
    </row>
    <row r="113" spans="1:5" ht="15.75">
      <c r="A113" s="423" t="s">
        <v>472</v>
      </c>
      <c r="B113" s="424">
        <v>19568</v>
      </c>
      <c r="C113" s="424">
        <v>846</v>
      </c>
      <c r="D113" s="424"/>
      <c r="E113" s="424">
        <f aca="true" t="shared" si="6" ref="E113:E121">SUM(B113:D113)</f>
        <v>20414</v>
      </c>
    </row>
    <row r="114" spans="1:5" ht="15.75">
      <c r="A114" s="425" t="s">
        <v>473</v>
      </c>
      <c r="B114" s="441">
        <v>208</v>
      </c>
      <c r="C114" s="442">
        <v>63</v>
      </c>
      <c r="D114" s="441"/>
      <c r="E114" s="428">
        <f t="shared" si="6"/>
        <v>271</v>
      </c>
    </row>
    <row r="115" spans="1:5" ht="15.75">
      <c r="A115" s="423" t="s">
        <v>474</v>
      </c>
      <c r="B115" s="424">
        <f>SUM(B113:B114)</f>
        <v>19776</v>
      </c>
      <c r="C115" s="424">
        <f>SUM(C113:C114)</f>
        <v>909</v>
      </c>
      <c r="D115" s="424">
        <f>SUM(D113:D114)</f>
        <v>0</v>
      </c>
      <c r="E115" s="424">
        <f t="shared" si="6"/>
        <v>20685</v>
      </c>
    </row>
    <row r="116" spans="1:5" ht="15.75">
      <c r="A116" s="430" t="s">
        <v>475</v>
      </c>
      <c r="B116" s="431">
        <f>SUM(B117:B121)</f>
        <v>19568</v>
      </c>
      <c r="C116" s="431">
        <f>SUM(C117:C121)</f>
        <v>363</v>
      </c>
      <c r="D116" s="431">
        <f>SUM(D117:D121)</f>
        <v>0</v>
      </c>
      <c r="E116" s="431">
        <f t="shared" si="6"/>
        <v>19931</v>
      </c>
    </row>
    <row r="117" spans="1:5" ht="15">
      <c r="A117" s="443" t="s">
        <v>476</v>
      </c>
      <c r="B117" s="444">
        <v>4700</v>
      </c>
      <c r="C117" s="444"/>
      <c r="D117" s="445"/>
      <c r="E117" s="446">
        <f t="shared" si="6"/>
        <v>4700</v>
      </c>
    </row>
    <row r="118" spans="1:5" ht="15">
      <c r="A118" s="443" t="s">
        <v>477</v>
      </c>
      <c r="B118" s="444">
        <v>1267</v>
      </c>
      <c r="C118" s="444"/>
      <c r="D118" s="445"/>
      <c r="E118" s="446">
        <f t="shared" si="6"/>
        <v>1267</v>
      </c>
    </row>
    <row r="119" spans="1:5" ht="15">
      <c r="A119" s="443">
        <v>2200</v>
      </c>
      <c r="B119" s="444">
        <v>13301</v>
      </c>
      <c r="C119" s="444">
        <v>363</v>
      </c>
      <c r="D119" s="445"/>
      <c r="E119" s="446">
        <f t="shared" si="6"/>
        <v>13664</v>
      </c>
    </row>
    <row r="120" spans="1:5" ht="15">
      <c r="A120" s="443">
        <v>2300</v>
      </c>
      <c r="B120" s="444">
        <v>300</v>
      </c>
      <c r="C120" s="444"/>
      <c r="D120" s="445"/>
      <c r="E120" s="446">
        <f t="shared" si="6"/>
        <v>300</v>
      </c>
    </row>
    <row r="121" spans="1:5" ht="15">
      <c r="A121" s="443">
        <v>5200</v>
      </c>
      <c r="B121" s="447"/>
      <c r="C121" s="447"/>
      <c r="D121" s="445"/>
      <c r="E121" s="446">
        <f t="shared" si="6"/>
        <v>0</v>
      </c>
    </row>
    <row r="122" spans="1:5" ht="15.75">
      <c r="A122" s="438" t="s">
        <v>478</v>
      </c>
      <c r="B122" s="431">
        <f>B115-B116</f>
        <v>208</v>
      </c>
      <c r="C122" s="439">
        <f>C115-C116</f>
        <v>546</v>
      </c>
      <c r="D122" s="439">
        <f>D115-D116</f>
        <v>0</v>
      </c>
      <c r="E122" s="424">
        <f>E115-E116</f>
        <v>754</v>
      </c>
    </row>
    <row r="123" spans="1:5" ht="48" customHeight="1">
      <c r="A123" s="480" t="s">
        <v>495</v>
      </c>
      <c r="B123" s="480"/>
      <c r="C123" s="480"/>
      <c r="D123" s="480"/>
      <c r="E123" s="480"/>
    </row>
    <row r="124" spans="1:5" ht="18.75">
      <c r="A124" s="475" t="s">
        <v>496</v>
      </c>
      <c r="B124" s="475"/>
      <c r="C124" s="475"/>
      <c r="D124" s="475"/>
      <c r="E124" s="475"/>
    </row>
    <row r="125" spans="1:5" ht="18.75">
      <c r="A125" s="474" t="s">
        <v>482</v>
      </c>
      <c r="B125" s="474"/>
      <c r="C125" s="474"/>
      <c r="D125" s="474"/>
      <c r="E125" s="474"/>
    </row>
    <row r="126" spans="1:5" ht="18.75">
      <c r="A126" s="420"/>
      <c r="B126" s="420"/>
      <c r="C126" s="420"/>
      <c r="D126" s="420"/>
      <c r="E126" s="420"/>
    </row>
    <row r="127" spans="1:5" ht="12.75">
      <c r="A127" s="477" t="s">
        <v>468</v>
      </c>
      <c r="B127" s="477" t="s">
        <v>469</v>
      </c>
      <c r="C127" s="477" t="s">
        <v>444</v>
      </c>
      <c r="D127" s="477" t="s">
        <v>470</v>
      </c>
      <c r="E127" s="477" t="s">
        <v>483</v>
      </c>
    </row>
    <row r="128" spans="1:5" ht="21" customHeight="1">
      <c r="A128" s="478"/>
      <c r="B128" s="478"/>
      <c r="C128" s="478"/>
      <c r="D128" s="478"/>
      <c r="E128" s="478"/>
    </row>
    <row r="129" spans="1:5" ht="15.75">
      <c r="A129" s="423" t="s">
        <v>472</v>
      </c>
      <c r="B129" s="424">
        <v>17441</v>
      </c>
      <c r="C129" s="424">
        <v>3650</v>
      </c>
      <c r="D129" s="424"/>
      <c r="E129" s="424">
        <f aca="true" t="shared" si="7" ref="E129:E137">SUM(B129:D129)</f>
        <v>21091</v>
      </c>
    </row>
    <row r="130" spans="1:5" ht="15.75">
      <c r="A130" s="425" t="s">
        <v>473</v>
      </c>
      <c r="B130" s="441">
        <v>45</v>
      </c>
      <c r="C130" s="442">
        <v>1714</v>
      </c>
      <c r="D130" s="441"/>
      <c r="E130" s="428">
        <f t="shared" si="7"/>
        <v>1759</v>
      </c>
    </row>
    <row r="131" spans="1:5" ht="15.75">
      <c r="A131" s="423" t="s">
        <v>474</v>
      </c>
      <c r="B131" s="424">
        <f>SUM(B129:B130)</f>
        <v>17486</v>
      </c>
      <c r="C131" s="424">
        <f>SUM(C129:C130)</f>
        <v>5364</v>
      </c>
      <c r="D131" s="424">
        <f>SUM(D129:D130)</f>
        <v>0</v>
      </c>
      <c r="E131" s="424">
        <f t="shared" si="7"/>
        <v>22850</v>
      </c>
    </row>
    <row r="132" spans="1:5" ht="15.75">
      <c r="A132" s="430" t="s">
        <v>475</v>
      </c>
      <c r="B132" s="431">
        <f>SUM(B133:B137)</f>
        <v>17486</v>
      </c>
      <c r="C132" s="431">
        <f>SUM(C133:C137)</f>
        <v>473</v>
      </c>
      <c r="D132" s="431">
        <f>SUM(D133:D137)</f>
        <v>0</v>
      </c>
      <c r="E132" s="431">
        <f t="shared" si="7"/>
        <v>17959</v>
      </c>
    </row>
    <row r="133" spans="1:5" ht="15">
      <c r="A133" s="443" t="s">
        <v>476</v>
      </c>
      <c r="B133" s="444">
        <v>715</v>
      </c>
      <c r="C133" s="444"/>
      <c r="D133" s="445"/>
      <c r="E133" s="446">
        <f t="shared" si="7"/>
        <v>715</v>
      </c>
    </row>
    <row r="134" spans="1:5" ht="15">
      <c r="A134" s="443" t="s">
        <v>477</v>
      </c>
      <c r="B134" s="444">
        <v>171</v>
      </c>
      <c r="C134" s="444"/>
      <c r="D134" s="445"/>
      <c r="E134" s="446">
        <f t="shared" si="7"/>
        <v>171</v>
      </c>
    </row>
    <row r="135" spans="1:5" ht="15">
      <c r="A135" s="443">
        <v>2200</v>
      </c>
      <c r="B135" s="444">
        <v>14323</v>
      </c>
      <c r="C135" s="444">
        <v>21</v>
      </c>
      <c r="D135" s="445"/>
      <c r="E135" s="446">
        <f t="shared" si="7"/>
        <v>14344</v>
      </c>
    </row>
    <row r="136" spans="1:5" ht="15">
      <c r="A136" s="443">
        <v>2300</v>
      </c>
      <c r="B136" s="444">
        <v>2277</v>
      </c>
      <c r="C136" s="444">
        <v>30</v>
      </c>
      <c r="D136" s="445"/>
      <c r="E136" s="446">
        <f t="shared" si="7"/>
        <v>2307</v>
      </c>
    </row>
    <row r="137" spans="1:5" ht="15">
      <c r="A137" s="443">
        <v>5200</v>
      </c>
      <c r="B137" s="447"/>
      <c r="C137" s="444">
        <v>422</v>
      </c>
      <c r="D137" s="445"/>
      <c r="E137" s="446">
        <f t="shared" si="7"/>
        <v>422</v>
      </c>
    </row>
    <row r="138" spans="1:5" ht="15.75">
      <c r="A138" s="438" t="s">
        <v>478</v>
      </c>
      <c r="B138" s="431">
        <f>B131-B132</f>
        <v>0</v>
      </c>
      <c r="C138" s="439">
        <f>C131-C132</f>
        <v>4891</v>
      </c>
      <c r="D138" s="439">
        <f>D131-D132</f>
        <v>0</v>
      </c>
      <c r="E138" s="424">
        <f>E131-E132</f>
        <v>4891</v>
      </c>
    </row>
    <row r="139" spans="1:5" ht="50.25" customHeight="1">
      <c r="A139" s="480" t="s">
        <v>497</v>
      </c>
      <c r="B139" s="480"/>
      <c r="C139" s="480"/>
      <c r="D139" s="480"/>
      <c r="E139" s="480"/>
    </row>
    <row r="140" spans="1:5" ht="15.75">
      <c r="A140" s="448"/>
      <c r="B140" s="448"/>
      <c r="C140" s="448"/>
      <c r="D140" s="448"/>
      <c r="E140" s="448"/>
    </row>
    <row r="141" spans="1:5" s="422" customFormat="1" ht="18.75">
      <c r="A141" s="475" t="s">
        <v>498</v>
      </c>
      <c r="B141" s="475"/>
      <c r="C141" s="475"/>
      <c r="D141" s="475"/>
      <c r="E141" s="475"/>
    </row>
    <row r="142" spans="1:5" ht="18.75">
      <c r="A142" s="474" t="s">
        <v>482</v>
      </c>
      <c r="B142" s="474"/>
      <c r="C142" s="474"/>
      <c r="D142" s="474"/>
      <c r="E142" s="474"/>
    </row>
    <row r="143" spans="1:5" ht="13.5" customHeight="1">
      <c r="A143" s="420"/>
      <c r="B143" s="420"/>
      <c r="C143" s="420"/>
      <c r="D143" s="420"/>
      <c r="E143" s="420"/>
    </row>
    <row r="144" spans="1:5" ht="12.75">
      <c r="A144" s="477" t="s">
        <v>468</v>
      </c>
      <c r="B144" s="477" t="s">
        <v>469</v>
      </c>
      <c r="C144" s="477" t="s">
        <v>444</v>
      </c>
      <c r="D144" s="477" t="s">
        <v>470</v>
      </c>
      <c r="E144" s="477" t="s">
        <v>483</v>
      </c>
    </row>
    <row r="145" spans="1:5" ht="20.25" customHeight="1">
      <c r="A145" s="478"/>
      <c r="B145" s="478"/>
      <c r="C145" s="478"/>
      <c r="D145" s="478"/>
      <c r="E145" s="478"/>
    </row>
    <row r="146" spans="1:5" ht="15.75">
      <c r="A146" s="423" t="s">
        <v>472</v>
      </c>
      <c r="B146" s="424">
        <v>13059</v>
      </c>
      <c r="C146" s="424">
        <v>300</v>
      </c>
      <c r="D146" s="424">
        <v>5000</v>
      </c>
      <c r="E146" s="424">
        <f aca="true" t="shared" si="8" ref="E146:E154">SUM(B146:D146)</f>
        <v>18359</v>
      </c>
    </row>
    <row r="147" spans="1:5" ht="15.75">
      <c r="A147" s="425" t="s">
        <v>473</v>
      </c>
      <c r="B147" s="441">
        <v>2912</v>
      </c>
      <c r="C147" s="442">
        <v>15937</v>
      </c>
      <c r="D147" s="441">
        <v>2288</v>
      </c>
      <c r="E147" s="428">
        <f t="shared" si="8"/>
        <v>21137</v>
      </c>
    </row>
    <row r="148" spans="1:5" ht="15.75">
      <c r="A148" s="423" t="s">
        <v>474</v>
      </c>
      <c r="B148" s="424">
        <f>SUM(B146:B147)</f>
        <v>15971</v>
      </c>
      <c r="C148" s="424">
        <f>SUM(C146:C147)</f>
        <v>16237</v>
      </c>
      <c r="D148" s="424">
        <f>SUM(D146:D147)</f>
        <v>7288</v>
      </c>
      <c r="E148" s="424">
        <f t="shared" si="8"/>
        <v>39496</v>
      </c>
    </row>
    <row r="149" spans="1:5" ht="15.75">
      <c r="A149" s="430" t="s">
        <v>475</v>
      </c>
      <c r="B149" s="431">
        <f>SUM(B150:B154)</f>
        <v>12921</v>
      </c>
      <c r="C149" s="431">
        <f>SUM(C150:C154)</f>
        <v>0</v>
      </c>
      <c r="D149" s="431">
        <f>SUM(D150:D154)</f>
        <v>7000</v>
      </c>
      <c r="E149" s="431">
        <f t="shared" si="8"/>
        <v>19921</v>
      </c>
    </row>
    <row r="150" spans="1:5" ht="15">
      <c r="A150" s="443" t="s">
        <v>476</v>
      </c>
      <c r="B150" s="444"/>
      <c r="C150" s="444"/>
      <c r="D150" s="445"/>
      <c r="E150" s="446">
        <f t="shared" si="8"/>
        <v>0</v>
      </c>
    </row>
    <row r="151" spans="1:5" ht="15">
      <c r="A151" s="443" t="s">
        <v>477</v>
      </c>
      <c r="B151" s="444"/>
      <c r="C151" s="444"/>
      <c r="D151" s="445"/>
      <c r="E151" s="446">
        <f t="shared" si="8"/>
        <v>0</v>
      </c>
    </row>
    <row r="152" spans="1:5" ht="15">
      <c r="A152" s="443">
        <v>2200</v>
      </c>
      <c r="B152" s="444">
        <v>12921</v>
      </c>
      <c r="C152" s="444"/>
      <c r="D152" s="445">
        <v>6700</v>
      </c>
      <c r="E152" s="446">
        <f t="shared" si="8"/>
        <v>19621</v>
      </c>
    </row>
    <row r="153" spans="1:5" ht="15">
      <c r="A153" s="443">
        <v>2300</v>
      </c>
      <c r="B153" s="444"/>
      <c r="C153" s="444"/>
      <c r="D153" s="445"/>
      <c r="E153" s="446">
        <f t="shared" si="8"/>
        <v>0</v>
      </c>
    </row>
    <row r="154" spans="1:5" ht="15">
      <c r="A154" s="443">
        <v>5200</v>
      </c>
      <c r="B154" s="447"/>
      <c r="C154" s="447"/>
      <c r="D154" s="445">
        <v>300</v>
      </c>
      <c r="E154" s="446">
        <f t="shared" si="8"/>
        <v>300</v>
      </c>
    </row>
    <row r="155" spans="1:5" ht="15.75">
      <c r="A155" s="438" t="s">
        <v>478</v>
      </c>
      <c r="B155" s="431">
        <f>B148-B149</f>
        <v>3050</v>
      </c>
      <c r="C155" s="439">
        <f>C148-C149</f>
        <v>16237</v>
      </c>
      <c r="D155" s="439">
        <f>D148-D149</f>
        <v>288</v>
      </c>
      <c r="E155" s="424">
        <f>E148-E149</f>
        <v>19575</v>
      </c>
    </row>
    <row r="156" spans="1:5" ht="41.25" customHeight="1">
      <c r="A156" s="480" t="s">
        <v>499</v>
      </c>
      <c r="B156" s="480"/>
      <c r="C156" s="480"/>
      <c r="D156" s="480"/>
      <c r="E156" s="480"/>
    </row>
  </sheetData>
  <sheetProtection/>
  <mergeCells count="72">
    <mergeCell ref="A156:E156"/>
    <mergeCell ref="A139:E139"/>
    <mergeCell ref="A141:E141"/>
    <mergeCell ref="A142:E142"/>
    <mergeCell ref="A144:A145"/>
    <mergeCell ref="B144:B145"/>
    <mergeCell ref="C144:C145"/>
    <mergeCell ref="D144:D145"/>
    <mergeCell ref="E144:E145"/>
    <mergeCell ref="A123:E123"/>
    <mergeCell ref="A124:E124"/>
    <mergeCell ref="A125:E125"/>
    <mergeCell ref="A127:A128"/>
    <mergeCell ref="B127:B128"/>
    <mergeCell ref="C127:C128"/>
    <mergeCell ref="D127:D128"/>
    <mergeCell ref="E127:E128"/>
    <mergeCell ref="A106:E106"/>
    <mergeCell ref="A108:E108"/>
    <mergeCell ref="A109:E109"/>
    <mergeCell ref="A111:A112"/>
    <mergeCell ref="B111:B112"/>
    <mergeCell ref="C111:C112"/>
    <mergeCell ref="D111:D112"/>
    <mergeCell ref="E111:E112"/>
    <mergeCell ref="A90:E90"/>
    <mergeCell ref="A91:E91"/>
    <mergeCell ref="A92:E92"/>
    <mergeCell ref="A94:A95"/>
    <mergeCell ref="B94:B95"/>
    <mergeCell ref="C94:C95"/>
    <mergeCell ref="D94:D95"/>
    <mergeCell ref="E94:E95"/>
    <mergeCell ref="A72:E72"/>
    <mergeCell ref="A74:E74"/>
    <mergeCell ref="A75:E75"/>
    <mergeCell ref="A77:A78"/>
    <mergeCell ref="B77:B78"/>
    <mergeCell ref="C77:C78"/>
    <mergeCell ref="D77:D78"/>
    <mergeCell ref="E77:E78"/>
    <mergeCell ref="A56:E56"/>
    <mergeCell ref="A57:E57"/>
    <mergeCell ref="A58:E58"/>
    <mergeCell ref="A60:A61"/>
    <mergeCell ref="B60:B61"/>
    <mergeCell ref="C60:C61"/>
    <mergeCell ref="D60:D61"/>
    <mergeCell ref="E60:E61"/>
    <mergeCell ref="A39:E39"/>
    <mergeCell ref="A41:E41"/>
    <mergeCell ref="A42:E42"/>
    <mergeCell ref="A43:A44"/>
    <mergeCell ref="B43:B44"/>
    <mergeCell ref="C43:C44"/>
    <mergeCell ref="D43:D44"/>
    <mergeCell ref="E43:E44"/>
    <mergeCell ref="A24:E24"/>
    <mergeCell ref="A25:E25"/>
    <mergeCell ref="A27:A28"/>
    <mergeCell ref="B27:B28"/>
    <mergeCell ref="C27:C28"/>
    <mergeCell ref="D27:D28"/>
    <mergeCell ref="E27:E28"/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984251968503937" right="0.7874015748031497" top="0.984251968503937" bottom="0.5905511811023622" header="0.31496062992125984" footer="0.5118110236220472"/>
  <pageSetup horizontalDpi="300" verticalDpi="300" orientation="portrait" paperSize="9" r:id="rId1"/>
  <rowBreaks count="4" manualBreakCount="4">
    <brk id="23" max="255" man="1"/>
    <brk id="56" max="255" man="1"/>
    <brk id="90" max="255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pane xSplit="3" ySplit="6" topLeftCell="D7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D7" sqref="D7"/>
    </sheetView>
  </sheetViews>
  <sheetFormatPr defaultColWidth="9.140625" defaultRowHeight="12.75" outlineLevelCol="1"/>
  <cols>
    <col min="1" max="1" width="10.140625" style="277" customWidth="1"/>
    <col min="2" max="2" width="35.7109375" style="278" customWidth="1"/>
    <col min="3" max="3" width="9.7109375" style="277" hidden="1" customWidth="1" outlineLevel="1"/>
    <col min="4" max="4" width="9.421875" style="277" customWidth="1" collapsed="1"/>
    <col min="5" max="5" width="11.00390625" style="277" customWidth="1"/>
    <col min="6" max="6" width="14.7109375" style="277" customWidth="1"/>
    <col min="7" max="7" width="9.7109375" style="277" customWidth="1"/>
    <col min="8" max="10" width="10.7109375" style="277" customWidth="1"/>
    <col min="11" max="11" width="9.7109375" style="277" bestFit="1" customWidth="1"/>
    <col min="12" max="12" width="12.7109375" style="281" customWidth="1"/>
    <col min="13" max="16384" width="9.140625" style="277" customWidth="1"/>
  </cols>
  <sheetData>
    <row r="1" spans="5:6" ht="15">
      <c r="E1" s="279" t="s">
        <v>500</v>
      </c>
      <c r="F1" s="280"/>
    </row>
    <row r="2" spans="1:5" ht="15">
      <c r="A2" s="282"/>
      <c r="E2" s="282" t="s">
        <v>439</v>
      </c>
    </row>
    <row r="3" spans="1:5" ht="15">
      <c r="A3" s="282"/>
      <c r="E3" s="282" t="s">
        <v>440</v>
      </c>
    </row>
    <row r="4" spans="1:4" ht="20.25">
      <c r="A4" s="283" t="s">
        <v>501</v>
      </c>
      <c r="B4" s="283"/>
      <c r="C4" s="283"/>
      <c r="D4" s="283"/>
    </row>
    <row r="5" spans="1:4" ht="15.75" thickBot="1">
      <c r="A5" s="282"/>
      <c r="B5" s="285"/>
      <c r="C5" s="282"/>
      <c r="D5" s="282"/>
    </row>
    <row r="6" spans="1:12" ht="114.75" thickBot="1">
      <c r="A6" s="286" t="s">
        <v>10</v>
      </c>
      <c r="B6" s="287" t="s">
        <v>9</v>
      </c>
      <c r="C6" s="455" t="s">
        <v>502</v>
      </c>
      <c r="D6" s="456" t="s">
        <v>503</v>
      </c>
      <c r="E6" s="457" t="s">
        <v>388</v>
      </c>
      <c r="F6" s="458" t="s">
        <v>504</v>
      </c>
      <c r="G6" s="288" t="s">
        <v>392</v>
      </c>
      <c r="H6" s="459" t="s">
        <v>393</v>
      </c>
      <c r="I6" s="185" t="s">
        <v>395</v>
      </c>
      <c r="J6" s="459" t="s">
        <v>397</v>
      </c>
      <c r="K6" s="186" t="s">
        <v>399</v>
      </c>
      <c r="L6" s="290" t="s">
        <v>400</v>
      </c>
    </row>
    <row r="7" spans="1:12" ht="15" thickBot="1">
      <c r="A7" s="296" t="s">
        <v>505</v>
      </c>
      <c r="B7" s="297" t="s">
        <v>506</v>
      </c>
      <c r="C7" s="298">
        <v>16087</v>
      </c>
      <c r="D7" s="298">
        <v>9700</v>
      </c>
      <c r="E7" s="298">
        <v>1000</v>
      </c>
      <c r="F7" s="298"/>
      <c r="G7" s="298">
        <v>1500</v>
      </c>
      <c r="H7" s="298">
        <v>2888</v>
      </c>
      <c r="I7" s="298">
        <v>230</v>
      </c>
      <c r="J7" s="298">
        <v>200</v>
      </c>
      <c r="K7" s="298">
        <v>726</v>
      </c>
      <c r="L7" s="299">
        <f>SUM(D7:K7)</f>
        <v>16244</v>
      </c>
    </row>
    <row r="8" spans="1:12" ht="18.75" customHeight="1" thickBot="1">
      <c r="A8" s="328"/>
      <c r="B8" s="329" t="s">
        <v>50</v>
      </c>
      <c r="C8" s="330">
        <f aca="true" t="shared" si="0" ref="C8:K8">SUM(C7)</f>
        <v>16087</v>
      </c>
      <c r="D8" s="330">
        <f t="shared" si="0"/>
        <v>9700</v>
      </c>
      <c r="E8" s="330">
        <f t="shared" si="0"/>
        <v>1000</v>
      </c>
      <c r="F8" s="330">
        <f t="shared" si="0"/>
        <v>0</v>
      </c>
      <c r="G8" s="330">
        <f t="shared" si="0"/>
        <v>1500</v>
      </c>
      <c r="H8" s="330">
        <f t="shared" si="0"/>
        <v>2888</v>
      </c>
      <c r="I8" s="330">
        <f t="shared" si="0"/>
        <v>230</v>
      </c>
      <c r="J8" s="330">
        <f t="shared" si="0"/>
        <v>200</v>
      </c>
      <c r="K8" s="330">
        <f t="shared" si="0"/>
        <v>726</v>
      </c>
      <c r="L8" s="331">
        <f>SUM(D8:K8)</f>
        <v>16244</v>
      </c>
    </row>
    <row r="9" spans="1:12" ht="14.25">
      <c r="A9" s="333" t="s">
        <v>451</v>
      </c>
      <c r="B9" s="334" t="s">
        <v>402</v>
      </c>
      <c r="C9" s="460">
        <v>13766</v>
      </c>
      <c r="D9" s="335">
        <v>5360</v>
      </c>
      <c r="E9" s="335">
        <v>263</v>
      </c>
      <c r="F9" s="335">
        <v>2001</v>
      </c>
      <c r="G9" s="335">
        <v>275</v>
      </c>
      <c r="H9" s="335">
        <v>2387</v>
      </c>
      <c r="I9" s="335"/>
      <c r="J9" s="335">
        <v>174</v>
      </c>
      <c r="K9" s="335"/>
      <c r="L9" s="299">
        <f>SUM(D9:K9)</f>
        <v>10460</v>
      </c>
    </row>
    <row r="10" spans="1:12" ht="15">
      <c r="A10" s="336"/>
      <c r="B10" s="337" t="s">
        <v>53</v>
      </c>
      <c r="C10" s="338">
        <f aca="true" t="shared" si="1" ref="C10:K10">SUM(C8:C9)</f>
        <v>29853</v>
      </c>
      <c r="D10" s="338">
        <f t="shared" si="1"/>
        <v>15060</v>
      </c>
      <c r="E10" s="338">
        <f t="shared" si="1"/>
        <v>1263</v>
      </c>
      <c r="F10" s="338">
        <f t="shared" si="1"/>
        <v>2001</v>
      </c>
      <c r="G10" s="338">
        <f t="shared" si="1"/>
        <v>1775</v>
      </c>
      <c r="H10" s="338">
        <f t="shared" si="1"/>
        <v>5275</v>
      </c>
      <c r="I10" s="338">
        <f t="shared" si="1"/>
        <v>230</v>
      </c>
      <c r="J10" s="338">
        <f t="shared" si="1"/>
        <v>374</v>
      </c>
      <c r="K10" s="338">
        <f t="shared" si="1"/>
        <v>726</v>
      </c>
      <c r="L10" s="294">
        <f>SUM(D10:K10)</f>
        <v>26704</v>
      </c>
    </row>
    <row r="11" spans="2:6" ht="15">
      <c r="B11" s="339"/>
      <c r="C11" s="332"/>
      <c r="F11" s="340"/>
    </row>
    <row r="12" spans="2:6" ht="29.25">
      <c r="B12" s="339" t="s">
        <v>22</v>
      </c>
      <c r="C12" s="332"/>
      <c r="F12" s="340" t="s">
        <v>23</v>
      </c>
    </row>
    <row r="13" spans="1:11" ht="51" customHeight="1" thickBot="1">
      <c r="A13" s="472" t="s">
        <v>507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</row>
    <row r="14" spans="1:12" ht="114.75" thickBot="1">
      <c r="A14" s="286" t="s">
        <v>10</v>
      </c>
      <c r="B14" s="287" t="s">
        <v>9</v>
      </c>
      <c r="C14" s="455" t="s">
        <v>502</v>
      </c>
      <c r="D14" s="456" t="s">
        <v>503</v>
      </c>
      <c r="E14" s="457" t="s">
        <v>388</v>
      </c>
      <c r="F14" s="458" t="s">
        <v>504</v>
      </c>
      <c r="G14" s="288" t="s">
        <v>392</v>
      </c>
      <c r="H14" s="459" t="s">
        <v>393</v>
      </c>
      <c r="I14" s="185" t="s">
        <v>395</v>
      </c>
      <c r="J14" s="459" t="s">
        <v>397</v>
      </c>
      <c r="K14" s="186" t="s">
        <v>399</v>
      </c>
      <c r="L14" s="290" t="s">
        <v>400</v>
      </c>
    </row>
    <row r="15" spans="1:12" ht="15.75" thickBot="1">
      <c r="A15" s="461" t="s">
        <v>55</v>
      </c>
      <c r="B15" s="343" t="s">
        <v>56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31">
        <f aca="true" t="shared" si="2" ref="L15:L24">SUM(D15:K15)</f>
        <v>0</v>
      </c>
    </row>
    <row r="16" spans="1:12" ht="15.75" thickBot="1">
      <c r="A16" s="342" t="s">
        <v>1</v>
      </c>
      <c r="B16" s="343" t="s">
        <v>69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31">
        <f t="shared" si="2"/>
        <v>0</v>
      </c>
    </row>
    <row r="17" spans="1:12" ht="15.75" thickBot="1">
      <c r="A17" s="342" t="s">
        <v>17</v>
      </c>
      <c r="B17" s="355" t="s">
        <v>82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31">
        <f t="shared" si="2"/>
        <v>0</v>
      </c>
    </row>
    <row r="18" spans="1:12" ht="30.75" thickBot="1">
      <c r="A18" s="342" t="s">
        <v>3</v>
      </c>
      <c r="B18" s="355" t="s">
        <v>87</v>
      </c>
      <c r="C18" s="344">
        <v>744</v>
      </c>
      <c r="D18" s="344"/>
      <c r="E18" s="344">
        <v>1263</v>
      </c>
      <c r="F18" s="344"/>
      <c r="G18" s="344"/>
      <c r="H18" s="344"/>
      <c r="I18" s="344"/>
      <c r="J18" s="344"/>
      <c r="K18" s="344"/>
      <c r="L18" s="331">
        <f t="shared" si="2"/>
        <v>1263</v>
      </c>
    </row>
    <row r="19" spans="1:12" ht="15.75" thickBot="1">
      <c r="A19" s="462" t="s">
        <v>6</v>
      </c>
      <c r="B19" s="463" t="s">
        <v>100</v>
      </c>
      <c r="C19" s="344">
        <v>1385</v>
      </c>
      <c r="D19" s="344">
        <v>1819</v>
      </c>
      <c r="E19" s="344"/>
      <c r="F19" s="344">
        <v>2001</v>
      </c>
      <c r="G19" s="344"/>
      <c r="H19" s="344"/>
      <c r="I19" s="344"/>
      <c r="J19" s="344">
        <v>299</v>
      </c>
      <c r="K19" s="344"/>
      <c r="L19" s="331">
        <f t="shared" si="2"/>
        <v>4119</v>
      </c>
    </row>
    <row r="20" spans="1:12" ht="15.75" thickBot="1">
      <c r="A20" s="342" t="s">
        <v>113</v>
      </c>
      <c r="B20" s="355" t="s">
        <v>0</v>
      </c>
      <c r="C20" s="344">
        <v>8804</v>
      </c>
      <c r="D20" s="344">
        <v>11804</v>
      </c>
      <c r="E20" s="344"/>
      <c r="F20" s="344"/>
      <c r="G20" s="344">
        <v>1775</v>
      </c>
      <c r="H20" s="344"/>
      <c r="I20" s="344">
        <v>230</v>
      </c>
      <c r="J20" s="344">
        <v>75</v>
      </c>
      <c r="K20" s="344">
        <v>726</v>
      </c>
      <c r="L20" s="331">
        <f t="shared" si="2"/>
        <v>14610</v>
      </c>
    </row>
    <row r="21" spans="1:12" ht="15.75" thickBot="1">
      <c r="A21" s="462" t="s">
        <v>7</v>
      </c>
      <c r="B21" s="463" t="s">
        <v>131</v>
      </c>
      <c r="C21" s="344">
        <v>8460</v>
      </c>
      <c r="D21" s="344">
        <v>1437</v>
      </c>
      <c r="E21" s="344"/>
      <c r="F21" s="344"/>
      <c r="G21" s="344"/>
      <c r="H21" s="344">
        <v>5275</v>
      </c>
      <c r="I21" s="344"/>
      <c r="J21" s="344"/>
      <c r="K21" s="344"/>
      <c r="L21" s="331">
        <f t="shared" si="2"/>
        <v>6712</v>
      </c>
    </row>
    <row r="22" spans="1:12" ht="15.75" thickBot="1">
      <c r="A22" s="369"/>
      <c r="B22" s="370" t="s">
        <v>20</v>
      </c>
      <c r="C22" s="344">
        <f aca="true" t="shared" si="3" ref="C22:K22">SUM(C15:C21)</f>
        <v>19393</v>
      </c>
      <c r="D22" s="344">
        <f t="shared" si="3"/>
        <v>15060</v>
      </c>
      <c r="E22" s="344">
        <f t="shared" si="3"/>
        <v>1263</v>
      </c>
      <c r="F22" s="344">
        <f t="shared" si="3"/>
        <v>2001</v>
      </c>
      <c r="G22" s="344">
        <f t="shared" si="3"/>
        <v>1775</v>
      </c>
      <c r="H22" s="344">
        <f t="shared" si="3"/>
        <v>5275</v>
      </c>
      <c r="I22" s="344">
        <f t="shared" si="3"/>
        <v>230</v>
      </c>
      <c r="J22" s="344">
        <f t="shared" si="3"/>
        <v>374</v>
      </c>
      <c r="K22" s="344">
        <f t="shared" si="3"/>
        <v>726</v>
      </c>
      <c r="L22" s="331">
        <f t="shared" si="2"/>
        <v>26704</v>
      </c>
    </row>
    <row r="23" spans="1:12" ht="15">
      <c r="A23" s="277" t="s">
        <v>451</v>
      </c>
      <c r="B23" s="376" t="s">
        <v>460</v>
      </c>
      <c r="C23" s="464">
        <v>10460</v>
      </c>
      <c r="D23" s="332"/>
      <c r="L23" s="375">
        <f t="shared" si="2"/>
        <v>0</v>
      </c>
    </row>
    <row r="24" spans="2:12" ht="15">
      <c r="B24" s="465" t="s">
        <v>508</v>
      </c>
      <c r="C24" s="378">
        <f aca="true" t="shared" si="4" ref="C24:K24">C10-C23-C22</f>
        <v>0</v>
      </c>
      <c r="D24" s="378">
        <f t="shared" si="4"/>
        <v>0</v>
      </c>
      <c r="E24" s="378">
        <f t="shared" si="4"/>
        <v>0</v>
      </c>
      <c r="F24" s="378">
        <f t="shared" si="4"/>
        <v>0</v>
      </c>
      <c r="G24" s="378">
        <f t="shared" si="4"/>
        <v>0</v>
      </c>
      <c r="H24" s="378">
        <f t="shared" si="4"/>
        <v>0</v>
      </c>
      <c r="I24" s="378">
        <f t="shared" si="4"/>
        <v>0</v>
      </c>
      <c r="J24" s="378">
        <f t="shared" si="4"/>
        <v>0</v>
      </c>
      <c r="K24" s="378">
        <f t="shared" si="4"/>
        <v>0</v>
      </c>
      <c r="L24" s="375">
        <f t="shared" si="2"/>
        <v>0</v>
      </c>
    </row>
    <row r="25" spans="2:6" ht="29.25">
      <c r="B25" s="339" t="s">
        <v>22</v>
      </c>
      <c r="C25" s="332"/>
      <c r="F25" s="340" t="s">
        <v>23</v>
      </c>
    </row>
    <row r="26" spans="1:7" ht="42" customHeight="1" thickBot="1">
      <c r="A26" s="473" t="s">
        <v>509</v>
      </c>
      <c r="B26" s="473"/>
      <c r="C26" s="473"/>
      <c r="D26" s="473"/>
      <c r="E26" s="473"/>
      <c r="F26" s="473"/>
      <c r="G26" s="473"/>
    </row>
    <row r="27" spans="1:12" ht="90" customHeight="1" thickBot="1">
      <c r="A27" s="286" t="s">
        <v>10</v>
      </c>
      <c r="B27" s="287" t="s">
        <v>9</v>
      </c>
      <c r="C27" s="455" t="s">
        <v>502</v>
      </c>
      <c r="D27" s="456" t="s">
        <v>503</v>
      </c>
      <c r="E27" s="457" t="s">
        <v>388</v>
      </c>
      <c r="F27" s="458" t="s">
        <v>504</v>
      </c>
      <c r="G27" s="288" t="s">
        <v>392</v>
      </c>
      <c r="H27" s="459" t="s">
        <v>393</v>
      </c>
      <c r="I27" s="185" t="s">
        <v>395</v>
      </c>
      <c r="J27" s="459" t="s">
        <v>397</v>
      </c>
      <c r="K27" s="186" t="s">
        <v>399</v>
      </c>
      <c r="L27" s="290" t="s">
        <v>400</v>
      </c>
    </row>
    <row r="28" spans="1:12" ht="15">
      <c r="A28" s="380">
        <v>1100</v>
      </c>
      <c r="B28" s="381" t="s">
        <v>461</v>
      </c>
      <c r="C28" s="466">
        <v>418</v>
      </c>
      <c r="D28" s="382"/>
      <c r="E28" s="382"/>
      <c r="F28" s="382"/>
      <c r="G28" s="382"/>
      <c r="H28" s="382"/>
      <c r="I28" s="382"/>
      <c r="J28" s="382"/>
      <c r="K28" s="382"/>
      <c r="L28" s="384">
        <f>SUM(D28:K28)</f>
        <v>0</v>
      </c>
    </row>
    <row r="29" spans="1:12" ht="60.75" thickBot="1">
      <c r="A29" s="385">
        <v>1200</v>
      </c>
      <c r="B29" s="386" t="s">
        <v>462</v>
      </c>
      <c r="C29" s="467">
        <v>96</v>
      </c>
      <c r="D29" s="324"/>
      <c r="E29" s="324"/>
      <c r="F29" s="324"/>
      <c r="G29" s="324"/>
      <c r="H29" s="324"/>
      <c r="I29" s="324"/>
      <c r="J29" s="324"/>
      <c r="K29" s="324"/>
      <c r="L29" s="387">
        <f>SUM(D29:K29)</f>
        <v>0</v>
      </c>
    </row>
    <row r="30" spans="1:12" ht="15.75" thickBot="1">
      <c r="A30" s="388">
        <v>2000</v>
      </c>
      <c r="B30" s="389" t="s">
        <v>208</v>
      </c>
      <c r="C30" s="390">
        <f>SUM(C32+C33+C34+C35)</f>
        <v>10915</v>
      </c>
      <c r="D30" s="390">
        <f aca="true" t="shared" si="5" ref="D30:K30">SUM(D31:D35)</f>
        <v>10060</v>
      </c>
      <c r="E30" s="390">
        <f t="shared" si="5"/>
        <v>1263</v>
      </c>
      <c r="F30" s="390">
        <f t="shared" si="5"/>
        <v>2001</v>
      </c>
      <c r="G30" s="390">
        <f t="shared" si="5"/>
        <v>1775</v>
      </c>
      <c r="H30" s="390">
        <f t="shared" si="5"/>
        <v>3351</v>
      </c>
      <c r="I30" s="390">
        <f t="shared" si="5"/>
        <v>230</v>
      </c>
      <c r="J30" s="390">
        <f>SUM(J31:J35)</f>
        <v>75</v>
      </c>
      <c r="K30" s="390">
        <f t="shared" si="5"/>
        <v>726</v>
      </c>
      <c r="L30" s="392">
        <f>SUM(L31:L35)</f>
        <v>19481</v>
      </c>
    </row>
    <row r="31" spans="1:12" ht="45">
      <c r="A31" s="155">
        <v>2100</v>
      </c>
      <c r="B31" s="137" t="s">
        <v>371</v>
      </c>
      <c r="C31" s="382"/>
      <c r="D31" s="382">
        <v>1000</v>
      </c>
      <c r="E31" s="382"/>
      <c r="F31" s="382"/>
      <c r="G31" s="382"/>
      <c r="H31" s="382"/>
      <c r="I31" s="382">
        <v>142</v>
      </c>
      <c r="J31" s="382"/>
      <c r="K31" s="382"/>
      <c r="L31" s="398">
        <f aca="true" t="shared" si="6" ref="L31:L39">SUM(D31:K31)</f>
        <v>1142</v>
      </c>
    </row>
    <row r="32" spans="1:12" ht="15">
      <c r="A32" s="393">
        <v>2200</v>
      </c>
      <c r="B32" s="394" t="s">
        <v>209</v>
      </c>
      <c r="C32" s="395">
        <v>5227</v>
      </c>
      <c r="D32" s="396">
        <v>5040</v>
      </c>
      <c r="E32" s="395"/>
      <c r="F32" s="395">
        <v>349</v>
      </c>
      <c r="G32" s="395">
        <v>340</v>
      </c>
      <c r="H32" s="395">
        <v>1247</v>
      </c>
      <c r="I32" s="395">
        <v>24</v>
      </c>
      <c r="J32" s="395">
        <v>75</v>
      </c>
      <c r="K32" s="395"/>
      <c r="L32" s="398">
        <f t="shared" si="6"/>
        <v>7075</v>
      </c>
    </row>
    <row r="33" spans="1:12" ht="45">
      <c r="A33" s="399">
        <v>2300</v>
      </c>
      <c r="B33" s="400" t="s">
        <v>210</v>
      </c>
      <c r="C33" s="405">
        <v>5688</v>
      </c>
      <c r="D33" s="401">
        <v>4020</v>
      </c>
      <c r="E33" s="401">
        <v>1263</v>
      </c>
      <c r="F33" s="401">
        <v>1652</v>
      </c>
      <c r="G33" s="401">
        <v>1435</v>
      </c>
      <c r="H33" s="401">
        <v>2104</v>
      </c>
      <c r="I33" s="401">
        <v>64</v>
      </c>
      <c r="J33" s="401"/>
      <c r="K33" s="401">
        <v>726</v>
      </c>
      <c r="L33" s="398">
        <f t="shared" si="6"/>
        <v>11264</v>
      </c>
    </row>
    <row r="34" spans="1:12" ht="15">
      <c r="A34" s="399">
        <v>2400</v>
      </c>
      <c r="B34" s="400" t="s">
        <v>211</v>
      </c>
      <c r="C34" s="405"/>
      <c r="D34" s="401"/>
      <c r="E34" s="401"/>
      <c r="F34" s="401"/>
      <c r="G34" s="401"/>
      <c r="H34" s="401"/>
      <c r="I34" s="401"/>
      <c r="J34" s="401"/>
      <c r="K34" s="401"/>
      <c r="L34" s="404">
        <f t="shared" si="6"/>
        <v>0</v>
      </c>
    </row>
    <row r="35" spans="1:12" ht="30">
      <c r="A35" s="399">
        <v>2500</v>
      </c>
      <c r="B35" s="400" t="s">
        <v>212</v>
      </c>
      <c r="C35" s="405"/>
      <c r="D35" s="401"/>
      <c r="E35" s="401"/>
      <c r="F35" s="401"/>
      <c r="G35" s="401"/>
      <c r="H35" s="401"/>
      <c r="I35" s="401"/>
      <c r="J35" s="401"/>
      <c r="K35" s="401"/>
      <c r="L35" s="404">
        <f t="shared" si="6"/>
        <v>0</v>
      </c>
    </row>
    <row r="36" spans="1:12" ht="45">
      <c r="A36" s="399">
        <v>3200</v>
      </c>
      <c r="B36" s="400" t="s">
        <v>463</v>
      </c>
      <c r="C36" s="405"/>
      <c r="D36" s="401"/>
      <c r="E36" s="401"/>
      <c r="F36" s="401"/>
      <c r="G36" s="401"/>
      <c r="H36" s="401"/>
      <c r="I36" s="401"/>
      <c r="J36" s="401"/>
      <c r="K36" s="401"/>
      <c r="L36" s="404">
        <f t="shared" si="6"/>
        <v>0</v>
      </c>
    </row>
    <row r="37" spans="1:12" ht="15">
      <c r="A37" s="399">
        <v>5200</v>
      </c>
      <c r="B37" s="400" t="s">
        <v>215</v>
      </c>
      <c r="C37" s="405">
        <v>6135</v>
      </c>
      <c r="D37" s="401">
        <v>5000</v>
      </c>
      <c r="E37" s="401"/>
      <c r="F37" s="401"/>
      <c r="G37" s="401"/>
      <c r="H37" s="401"/>
      <c r="I37" s="401"/>
      <c r="J37" s="401">
        <v>299</v>
      </c>
      <c r="K37" s="401"/>
      <c r="L37" s="404">
        <f t="shared" si="6"/>
        <v>5299</v>
      </c>
    </row>
    <row r="38" spans="1:12" ht="15">
      <c r="A38" s="399">
        <v>6200</v>
      </c>
      <c r="B38" s="32" t="s">
        <v>216</v>
      </c>
      <c r="C38" s="405"/>
      <c r="D38" s="401"/>
      <c r="E38" s="401"/>
      <c r="F38" s="401"/>
      <c r="G38" s="401"/>
      <c r="H38" s="401">
        <v>36</v>
      </c>
      <c r="I38" s="401"/>
      <c r="J38" s="401"/>
      <c r="K38" s="401"/>
      <c r="L38" s="404">
        <f t="shared" si="6"/>
        <v>36</v>
      </c>
    </row>
    <row r="39" spans="1:12" ht="15.75" thickBot="1">
      <c r="A39" s="399">
        <v>6300</v>
      </c>
      <c r="B39" s="32" t="s">
        <v>217</v>
      </c>
      <c r="C39" s="405">
        <v>1829</v>
      </c>
      <c r="D39" s="401"/>
      <c r="E39" s="401"/>
      <c r="F39" s="401"/>
      <c r="G39" s="401"/>
      <c r="H39" s="401">
        <v>1888</v>
      </c>
      <c r="I39" s="401"/>
      <c r="J39" s="401"/>
      <c r="K39" s="401"/>
      <c r="L39" s="404">
        <f t="shared" si="6"/>
        <v>1888</v>
      </c>
    </row>
    <row r="40" spans="1:12" ht="15.75" thickBot="1">
      <c r="A40" s="410"/>
      <c r="B40" s="411" t="s">
        <v>218</v>
      </c>
      <c r="C40" s="390">
        <f aca="true" t="shared" si="7" ref="C40:L40">SUM(C28:C30,C36:C39)</f>
        <v>19393</v>
      </c>
      <c r="D40" s="390">
        <f t="shared" si="7"/>
        <v>15060</v>
      </c>
      <c r="E40" s="390">
        <f t="shared" si="7"/>
        <v>1263</v>
      </c>
      <c r="F40" s="390">
        <f t="shared" si="7"/>
        <v>2001</v>
      </c>
      <c r="G40" s="390">
        <f t="shared" si="7"/>
        <v>1775</v>
      </c>
      <c r="H40" s="390">
        <f t="shared" si="7"/>
        <v>5275</v>
      </c>
      <c r="I40" s="390">
        <f t="shared" si="7"/>
        <v>230</v>
      </c>
      <c r="J40" s="390">
        <f t="shared" si="7"/>
        <v>374</v>
      </c>
      <c r="K40" s="390">
        <f t="shared" si="7"/>
        <v>726</v>
      </c>
      <c r="L40" s="392">
        <f t="shared" si="7"/>
        <v>26704</v>
      </c>
    </row>
    <row r="41" ht="15">
      <c r="B41" s="277"/>
    </row>
    <row r="42" spans="1:5" ht="15">
      <c r="A42" s="374"/>
      <c r="B42" s="412"/>
      <c r="C42" s="468"/>
      <c r="D42" s="373"/>
      <c r="E42" s="374"/>
    </row>
    <row r="43" spans="1:6" ht="29.25">
      <c r="A43" s="374"/>
      <c r="B43" s="413" t="s">
        <v>22</v>
      </c>
      <c r="C43" s="468"/>
      <c r="D43" s="373"/>
      <c r="E43" s="374"/>
      <c r="F43" s="340" t="s">
        <v>23</v>
      </c>
    </row>
    <row r="44" ht="15">
      <c r="C44" s="368"/>
    </row>
    <row r="45" ht="15">
      <c r="C45" s="368"/>
    </row>
    <row r="46" spans="1:4" ht="15">
      <c r="A46" s="414"/>
      <c r="B46" s="415"/>
      <c r="C46" s="417"/>
      <c r="D46" s="417"/>
    </row>
    <row r="47" spans="2:3" ht="15">
      <c r="B47" s="339"/>
      <c r="C47" s="332"/>
    </row>
    <row r="48" spans="2:3" ht="15">
      <c r="B48" s="339"/>
      <c r="C48" s="332"/>
    </row>
    <row r="49" spans="2:3" ht="15">
      <c r="B49" s="339"/>
      <c r="C49" s="332"/>
    </row>
    <row r="50" spans="1:3" ht="15">
      <c r="A50" s="414"/>
      <c r="B50" s="415"/>
      <c r="C50" s="417"/>
    </row>
    <row r="51" ht="15">
      <c r="C51" s="368"/>
    </row>
    <row r="52" ht="15">
      <c r="C52" s="368"/>
    </row>
    <row r="53" ht="15">
      <c r="C53" s="368"/>
    </row>
    <row r="54" ht="15">
      <c r="C54" s="368"/>
    </row>
    <row r="55" ht="15">
      <c r="C55" s="368"/>
    </row>
    <row r="56" ht="15">
      <c r="C56" s="368"/>
    </row>
    <row r="57" ht="15">
      <c r="C57" s="368"/>
    </row>
    <row r="58" ht="15">
      <c r="C58" s="368"/>
    </row>
    <row r="59" ht="15">
      <c r="C59" s="368"/>
    </row>
    <row r="60" ht="15">
      <c r="C60" s="368"/>
    </row>
    <row r="61" ht="15">
      <c r="C61" s="368"/>
    </row>
    <row r="62" ht="15">
      <c r="C62" s="368"/>
    </row>
    <row r="63" ht="15">
      <c r="C63" s="368"/>
    </row>
    <row r="64" ht="15">
      <c r="C64" s="368"/>
    </row>
    <row r="65" ht="15">
      <c r="C65" s="368"/>
    </row>
  </sheetData>
  <sheetProtection/>
  <mergeCells count="2">
    <mergeCell ref="A13:K13"/>
    <mergeCell ref="A26:G26"/>
  </mergeCells>
  <printOptions/>
  <pageMargins left="0.984251968503937" right="0.7874015748031497" top="0.984251968503937" bottom="0.5905511811023622" header="0.31496062992125984" footer="0.5118110236220472"/>
  <pageSetup fitToHeight="0" fitToWidth="1" horizontalDpi="600" verticalDpi="600" orientation="landscape" paperSize="9" scale="8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LAusjuka</cp:lastModifiedBy>
  <cp:lastPrinted>2013-12-28T09:51:59Z</cp:lastPrinted>
  <dcterms:created xsi:type="dcterms:W3CDTF">2006-04-20T10:34:24Z</dcterms:created>
  <dcterms:modified xsi:type="dcterms:W3CDTF">2014-01-14T12:57:37Z</dcterms:modified>
  <cp:category/>
  <cp:version/>
  <cp:contentType/>
  <cp:contentStatus/>
</cp:coreProperties>
</file>