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15" windowHeight="7755" activeTab="0"/>
  </bookViews>
  <sheets>
    <sheet name="Pamatbudžets   " sheetId="1" r:id="rId1"/>
    <sheet name="Ieņēmumi" sheetId="2" r:id="rId2"/>
    <sheet name="Izdevumi" sheetId="3" r:id="rId3"/>
    <sheet name="Fin. pagastu pārv." sheetId="4" r:id="rId4"/>
    <sheet name="Sheet1" sheetId="5" r:id="rId5"/>
    <sheet name="Sheet2" sheetId="6" r:id="rId6"/>
    <sheet name="Sheet3" sheetId="7" r:id="rId7"/>
  </sheets>
  <externalReferences>
    <externalReference r:id="rId10"/>
  </externalReferences>
  <definedNames>
    <definedName name="_xlnm.Print_Titles" localSheetId="0">'Pamatbudžets   '!$7:$7</definedName>
  </definedNames>
  <calcPr fullCalcOnLoad="1"/>
</workbook>
</file>

<file path=xl/sharedStrings.xml><?xml version="1.0" encoding="utf-8"?>
<sst xmlns="http://schemas.openxmlformats.org/spreadsheetml/2006/main" count="1054" uniqueCount="686">
  <si>
    <t>Lielās talkas atkritumu apglabāšanai EUR 322; būvgružu izvešana EUR 2220; EUR 800 rekultiv izgāztuves Ķilupe apsaimniekošanai papildus</t>
  </si>
  <si>
    <t>Nodots kā finansējums PA "Ogres namsaimnieks"</t>
  </si>
  <si>
    <t>Pārcelti uz ielu apgaismojumu</t>
  </si>
  <si>
    <t xml:space="preserve">SIA”Ķilupe” palielināja cenas </t>
  </si>
  <si>
    <t xml:space="preserve">Topogrāfiskās uzmērīšanas veikšana 5 ha platībā; tehniskā projekta izstrāde kapu "Smiltāji" III kārtas izbūvei </t>
  </si>
  <si>
    <t>Siltumtīklu rekonstrukcija Ogres Valsts ģimnāzijai</t>
  </si>
  <si>
    <r>
      <t>Lēmums</t>
    </r>
    <r>
      <rPr>
        <sz val="11"/>
        <rFont val="Times New Roman"/>
        <family val="1"/>
      </rPr>
      <t xml:space="preserve"> EUR 6000 Teritorijas Zaķu ielā 12 komunikāciju pievadu  (elektrības,ūdens,kanalizācijas, lietus ūdens un siltumapgādes) projekta izstrādei daudzdzīvokļu apbūvei</t>
    </r>
  </si>
  <si>
    <t>Saskaņā ar plānotajiem Latvenergo remontiem</t>
  </si>
  <si>
    <t xml:space="preserve">Ssamazināt: sabiedriskās tualetes uzstādīšanai; pludmales labiekārtošana Ogresgalā; palielināt  apsardzes un apkures izmaksām Brīvības 18; Gaismas 2/6; Upes 16 – 7 149 EUR; </t>
  </si>
  <si>
    <t>Veselības veicināšanas pasākumiem palielināt par 3 685 EUR</t>
  </si>
  <si>
    <t xml:space="preserve">     Projektu pieteikumu izstrāde, tehniskās dokumentācijas sagat.un vides izvērtēšana</t>
  </si>
  <si>
    <t>Lēmumi EUR 213 878; papildus no rezerves fonda EUR 61 398</t>
  </si>
  <si>
    <r>
      <rPr>
        <sz val="11"/>
        <color indexed="30"/>
        <rFont val="Times New Roman Baltic"/>
        <family val="0"/>
      </rPr>
      <t>Lēmums</t>
    </r>
    <r>
      <rPr>
        <sz val="11"/>
        <rFont val="Times New Roman Baltic"/>
        <family val="1"/>
      </rPr>
      <t xml:space="preserve"> EUR 2 520 palielināts finansējums; EUR -16276 pārcelt pagastiem un aģentūrām; 2 atteikušies no realizācijas EUR</t>
    </r>
    <r>
      <rPr>
        <sz val="11"/>
        <rFont val="Times New Roman Baltic"/>
        <family val="0"/>
      </rPr>
      <t xml:space="preserve"> 2350</t>
    </r>
  </si>
  <si>
    <r>
      <rPr>
        <sz val="11"/>
        <color indexed="30"/>
        <rFont val="Times New Roman"/>
        <family val="1"/>
      </rPr>
      <t>Lēmums</t>
    </r>
    <r>
      <rPr>
        <sz val="11"/>
        <rFont val="Times New Roman"/>
        <family val="1"/>
      </rPr>
      <t xml:space="preserve"> EUR 50 000 skvēra Brīvības ielā labiekārtošanas projektēšana; EUR 5 100 vēl Ciemupes meliorācijas sistēmas atjaunošana TP; EUR 693 papildus vides objekta Ogres pilsētā skiču projektam; EUR 4000 Rūpnieku ielas tehniskais projekts; samazināt EUR 10000 Birzgales ielas tehniskais projekts</t>
    </r>
  </si>
  <si>
    <t>EUR 1073 trasnsportlīdzekļa noma, EUR 3124 dalība starptautiskā kristīgās žēlsirdības projektā - draudzes uzņemšana Ogres tehnikumā; EUR 3000 pārcelti no licenču iegādes IT sistēmu drošības pārvaldības auditam un dokumentācijas izstrādei</t>
  </si>
  <si>
    <t>Samazināt EUR 35550 A. Kalniņa tēla bronzā vides objekta uzstādīšana; papildus EUR 454 Lāčplēša ordeņu kavalieru stēlas uzstādīšanai; papildus EUR 35550 bērnu laukuma ierīkošana aiz Kultūras centra</t>
  </si>
  <si>
    <t>EUR 3322 pārcelts no domes budžeta sab. organiz. pāsāk. rīkoš.; EUR 200 PO Horizonts jubilejai</t>
  </si>
  <si>
    <t>Papildus finansējums konkrētiem mērķiem</t>
  </si>
  <si>
    <r>
      <t xml:space="preserve">EUR 5363 papildus mācību klases izbūvei sakarā ar bērnu skaita palielināšanos; </t>
    </r>
  </si>
  <si>
    <t>OBJC</t>
  </si>
  <si>
    <t>Sporta c.</t>
  </si>
  <si>
    <t>Pamatlīdzekļu izveidošana</t>
  </si>
  <si>
    <r>
      <rPr>
        <sz val="11"/>
        <color indexed="30"/>
        <rFont val="Times New Roman"/>
        <family val="1"/>
      </rPr>
      <t>Lēmums</t>
    </r>
    <r>
      <rPr>
        <sz val="11"/>
        <rFont val="Times New Roman"/>
        <family val="1"/>
      </rPr>
      <t xml:space="preserve"> EUR 11 100 sporta halles grīdas atjaunošanai; ieņēmumi EUR 26 vienošanās par transporta pakalpojumu sniegšanu domei; EUR 1400 ieņēmumi no dalības maksām par nometni</t>
    </r>
  </si>
  <si>
    <t>PA "Ogres kultūras centrs" finansējums</t>
  </si>
  <si>
    <t>Iestāde</t>
  </si>
  <si>
    <t>Pamatojums</t>
  </si>
  <si>
    <t>Pieprasīts</t>
  </si>
  <si>
    <t>Piezīmes</t>
  </si>
  <si>
    <t>Klasifikācijas kods</t>
  </si>
  <si>
    <t>Sociālais nodoklis</t>
  </si>
  <si>
    <t>Izglītība</t>
  </si>
  <si>
    <t>04.000</t>
  </si>
  <si>
    <t>PII</t>
  </si>
  <si>
    <t>05.200</t>
  </si>
  <si>
    <t>06.000</t>
  </si>
  <si>
    <t>07.000</t>
  </si>
  <si>
    <t>Kultūra</t>
  </si>
  <si>
    <t>08.000</t>
  </si>
  <si>
    <t>10.000</t>
  </si>
  <si>
    <t>Sporta centrs</t>
  </si>
  <si>
    <t>1100</t>
  </si>
  <si>
    <t>1200</t>
  </si>
  <si>
    <t>Kopā uz korekcijām:</t>
  </si>
  <si>
    <t>Iekšējas korekcijas</t>
  </si>
  <si>
    <t xml:space="preserve">   Ieņēmuma pozīcijas nosaukums             </t>
  </si>
  <si>
    <t>Kods</t>
  </si>
  <si>
    <t>KOPĀ :</t>
  </si>
  <si>
    <t>Pielikums Nr.1</t>
  </si>
  <si>
    <t>Ogres novada domes</t>
  </si>
  <si>
    <t>4.1.1.0.</t>
  </si>
  <si>
    <t>4.1.2.0.</t>
  </si>
  <si>
    <t>5.4.1.0.</t>
  </si>
  <si>
    <t>Pašvaldību nodevas</t>
  </si>
  <si>
    <t>9.5.0.0.</t>
  </si>
  <si>
    <t>05.000</t>
  </si>
  <si>
    <t>Pabalsts maznodrošinātām ģimenēm</t>
  </si>
  <si>
    <t>Pašvaldības policija</t>
  </si>
  <si>
    <t>Kopā izdevumi:</t>
  </si>
  <si>
    <t>Kredīta atmaksa</t>
  </si>
  <si>
    <t>S.Velberga</t>
  </si>
  <si>
    <t>Paskaidrojums pie budžeta grozījumiem</t>
  </si>
  <si>
    <t>Nodokļu ieņēmumi</t>
  </si>
  <si>
    <t>1.1.1.0.</t>
  </si>
  <si>
    <t>1.1.1.1.</t>
  </si>
  <si>
    <t>1.1.1.2.</t>
  </si>
  <si>
    <t>4.1.0.0.</t>
  </si>
  <si>
    <t>Nekustamā īpašuma nodoklis</t>
  </si>
  <si>
    <t>Nekustamā īpašuma nodoklis par zemi</t>
  </si>
  <si>
    <t xml:space="preserve">Nekustamā īpašuma nodoklis par ēkām </t>
  </si>
  <si>
    <t>Azartspēļu nodoklis</t>
  </si>
  <si>
    <t>Nenodokļu ieņēmumi</t>
  </si>
  <si>
    <t>9.4.0.0.</t>
  </si>
  <si>
    <t>Valsts nodevas, kuras ieskaita pašvaldību budžetā</t>
  </si>
  <si>
    <t>Pārējie nenodokļu ieņēmumi</t>
  </si>
  <si>
    <t>18.0.0.0.</t>
  </si>
  <si>
    <t>Valsts budžeta transferti</t>
  </si>
  <si>
    <t>19.0.0.0.</t>
  </si>
  <si>
    <t>Pašvaldību budžetu transferti</t>
  </si>
  <si>
    <t>19.2.0.0.</t>
  </si>
  <si>
    <t>19.3.0.0.</t>
  </si>
  <si>
    <t>21.0.0.0.</t>
  </si>
  <si>
    <t>Budžeta iestāžu ieņēmumi</t>
  </si>
  <si>
    <t>21.3.0.0.</t>
  </si>
  <si>
    <t>21.3.8.0.</t>
  </si>
  <si>
    <t>Ieņēmumi par nomu un īri</t>
  </si>
  <si>
    <t>21.3.9.0.</t>
  </si>
  <si>
    <t>Ieņēmumi par pārējiem budžeta iestāžu maksas pakalpojumiem</t>
  </si>
  <si>
    <t>KOPĀ IEŅĒMUMI</t>
  </si>
  <si>
    <t>Valsts kases kredīts</t>
  </si>
  <si>
    <t>Kopā ar kredītresursiem:</t>
  </si>
  <si>
    <t>Kopā ar budžeta atlikumu</t>
  </si>
  <si>
    <t>Pielikums Nr.2</t>
  </si>
  <si>
    <t>01.000</t>
  </si>
  <si>
    <t>Vispārējie valdības dienesti</t>
  </si>
  <si>
    <t>01.720</t>
  </si>
  <si>
    <t>Pašvaldību budžetu parāda darījumi</t>
  </si>
  <si>
    <t>01.721</t>
  </si>
  <si>
    <t xml:space="preserve">       Pašvaldību budžetu valsts iekšējā parāda darījumi</t>
  </si>
  <si>
    <t>01.830</t>
  </si>
  <si>
    <t>Vispārēja rakstura transferti no pašvaldību budžeta pašvaldību budžetam</t>
  </si>
  <si>
    <t xml:space="preserve">       Norēķini ar citu pašvaldību izglītības iestādēm</t>
  </si>
  <si>
    <t>01.890</t>
  </si>
  <si>
    <t>03.000</t>
  </si>
  <si>
    <t>Sabiedriskā kārtība un drošība</t>
  </si>
  <si>
    <t>03.600</t>
  </si>
  <si>
    <t>Ekonomiskā darbība</t>
  </si>
  <si>
    <t>04.111</t>
  </si>
  <si>
    <t>Vispārējas ekonomiskas darbības vadība</t>
  </si>
  <si>
    <t>04.210</t>
  </si>
  <si>
    <t>04.220</t>
  </si>
  <si>
    <t>Mežsaimniecība un medniecība</t>
  </si>
  <si>
    <t>04.510</t>
  </si>
  <si>
    <t>Autotransports</t>
  </si>
  <si>
    <t xml:space="preserve">       Ceļu būvniecībai un remontiem</t>
  </si>
  <si>
    <t>04.600</t>
  </si>
  <si>
    <t>Sakari</t>
  </si>
  <si>
    <t>Vides aizsardzība</t>
  </si>
  <si>
    <t>05.100</t>
  </si>
  <si>
    <t>Atkritumu apsaimniekošana</t>
  </si>
  <si>
    <t>Notekūdeņu apsaimniekošana</t>
  </si>
  <si>
    <t xml:space="preserve">       Notekūdeņu (savākšana un attīrīšana)</t>
  </si>
  <si>
    <t>Pašvaldības teritoriju un mājokļu apsaimniekošana</t>
  </si>
  <si>
    <t>06.200</t>
  </si>
  <si>
    <t>06.300</t>
  </si>
  <si>
    <t>Ūdensapgāde</t>
  </si>
  <si>
    <t>06.400</t>
  </si>
  <si>
    <t>Ielu apgaismošana</t>
  </si>
  <si>
    <t>06.600</t>
  </si>
  <si>
    <t>Pārējā citur nekvalificētā pašvaldību teritoriju un mājokļu apsaimniekošanas darbība</t>
  </si>
  <si>
    <t>Veselība</t>
  </si>
  <si>
    <t>07.210</t>
  </si>
  <si>
    <t>Ambulatorās ārstniecības iestādes</t>
  </si>
  <si>
    <t>Atpūta, kultūra un reliģija</t>
  </si>
  <si>
    <t>08.100</t>
  </si>
  <si>
    <t>Atpūtas un sporta  pasākumi</t>
  </si>
  <si>
    <t xml:space="preserve">       Sporta pasākumu rīkošanai</t>
  </si>
  <si>
    <t xml:space="preserve">       Komandas vai individuālu sacensību dalībnieku atbalstam</t>
  </si>
  <si>
    <t>08.200</t>
  </si>
  <si>
    <t>08.210</t>
  </si>
  <si>
    <t>08.220</t>
  </si>
  <si>
    <t>08.230</t>
  </si>
  <si>
    <t>08.290</t>
  </si>
  <si>
    <t>Televīzija</t>
  </si>
  <si>
    <t>08.330</t>
  </si>
  <si>
    <t>Izdevniecība ( Novada informatīvie izdevumi )</t>
  </si>
  <si>
    <t>09.000</t>
  </si>
  <si>
    <t>09.100</t>
  </si>
  <si>
    <t>PII  "Sprīdītis"</t>
  </si>
  <si>
    <t>PII  "Cīrulītis"</t>
  </si>
  <si>
    <t>PII  "Dzīpariņš"</t>
  </si>
  <si>
    <t>PII  "Zelta sietiņš"</t>
  </si>
  <si>
    <t>PII  "Saulīte"</t>
  </si>
  <si>
    <t>PII " Ābelīte"</t>
  </si>
  <si>
    <t>09.210</t>
  </si>
  <si>
    <t>09.211</t>
  </si>
  <si>
    <t>Ogres 1. vidusskola</t>
  </si>
  <si>
    <t>Jaunogres vidusskola</t>
  </si>
  <si>
    <t>Ogresgala pamatskola</t>
  </si>
  <si>
    <t>09.510</t>
  </si>
  <si>
    <t>Interešu un profesionālās ievirzes izglītība</t>
  </si>
  <si>
    <t>Mūzikas skola</t>
  </si>
  <si>
    <t>Mākslas skola</t>
  </si>
  <si>
    <t>Bērnu un jauniešu centrs</t>
  </si>
  <si>
    <t>09.820</t>
  </si>
  <si>
    <t>Sociālā aizsardzība</t>
  </si>
  <si>
    <t>10.600</t>
  </si>
  <si>
    <t>Mājokļa atbalsts</t>
  </si>
  <si>
    <t>10.700</t>
  </si>
  <si>
    <t>Pārējais citur neklasificēts atbalsts sociāli atstumtām personām</t>
  </si>
  <si>
    <t xml:space="preserve">Sociālais dienests </t>
  </si>
  <si>
    <t>Invalīdu biedrības Ogres nodaļa</t>
  </si>
  <si>
    <t>Neredzīgo biedrības Ogres nodaļa</t>
  </si>
  <si>
    <t>Politiski represēto klubam</t>
  </si>
  <si>
    <t>Vietējie valdības dienesti</t>
  </si>
  <si>
    <t>Vispārējā izglītība</t>
  </si>
  <si>
    <t>Pašvaldības teritoriju un mājokļu apsaimniek.</t>
  </si>
  <si>
    <t>Korekcijas</t>
  </si>
  <si>
    <t>Basketbola skola</t>
  </si>
  <si>
    <t>Nemateriālie ieguldījumi</t>
  </si>
  <si>
    <t>13.0.0.0.</t>
  </si>
  <si>
    <t>Mērtķdotācijas pedagogu algām</t>
  </si>
  <si>
    <t xml:space="preserve">       Lietus ūdens kanalizācija </t>
  </si>
  <si>
    <t xml:space="preserve">      Nevalstisko org.projektu atbalstam</t>
  </si>
  <si>
    <t xml:space="preserve">    Muzeji un izstādes</t>
  </si>
  <si>
    <t xml:space="preserve">          Gaidu un skautu muzejs</t>
  </si>
  <si>
    <t xml:space="preserve">    Finansējums PA "Ogres kultūras centrs"</t>
  </si>
  <si>
    <t xml:space="preserve">    Kultūras pasākumi</t>
  </si>
  <si>
    <t xml:space="preserve">    Pilsētas dekorēšana svētkiem</t>
  </si>
  <si>
    <t xml:space="preserve">    Pensionēto izglītības darbinieku pasāk.</t>
  </si>
  <si>
    <t>PII " Strautiņš"</t>
  </si>
  <si>
    <t xml:space="preserve">Pozīcijas nosaukums             </t>
  </si>
  <si>
    <t>Ieņēmumi no iedzīvotāju ienākuma nodokļa</t>
  </si>
  <si>
    <t>Saņemts no VK sadales konta  iepriekšējā gada nesadalītais iedzīvotāju ienākuma nodokļa atlikums</t>
  </si>
  <si>
    <t>Saņemts no VK sadales konta  pārskata gadā ieskaitītais iedzīvotāju ienākuma nodoklis</t>
  </si>
  <si>
    <t>4.0.0.0.</t>
  </si>
  <si>
    <t>Īpašuma nodokļi</t>
  </si>
  <si>
    <t>8.6.0.0.</t>
  </si>
  <si>
    <t>Procentu ieņēmumi par depozītiem, kontu atlikumiem un vērtpapīriem</t>
  </si>
  <si>
    <t>10.1.0.0.</t>
  </si>
  <si>
    <t>Naudas sodi</t>
  </si>
  <si>
    <t>12.3.0.0.</t>
  </si>
  <si>
    <t>19.1.0.0.</t>
  </si>
  <si>
    <t>21.3.5.0.</t>
  </si>
  <si>
    <t>Maksa par izglītības pakalpojumiem</t>
  </si>
  <si>
    <t>21.3.7.0.</t>
  </si>
  <si>
    <t>Ieņēmumi par  dokumentu izsniegšanu un kancelejas pakalpojumiem</t>
  </si>
  <si>
    <t>04.430</t>
  </si>
  <si>
    <t>Būvvalde</t>
  </si>
  <si>
    <t>Mājokļu attīstība pašvaldībā</t>
  </si>
  <si>
    <t xml:space="preserve">      Pārējie izdevumi</t>
  </si>
  <si>
    <t xml:space="preserve">       Ģimenes ārstu prakse </t>
  </si>
  <si>
    <t xml:space="preserve">    Bibliotēkas </t>
  </si>
  <si>
    <t>PII "Riekstiņš"</t>
  </si>
  <si>
    <t>PII "Taurenītis"</t>
  </si>
  <si>
    <t xml:space="preserve">Ķeipenes pamatskola </t>
  </si>
  <si>
    <t>Madlienas vidusskola</t>
  </si>
  <si>
    <t>09.219</t>
  </si>
  <si>
    <t>Suntažu vidusskola</t>
  </si>
  <si>
    <t>Suntažu sanatorijas internātpamatskola</t>
  </si>
  <si>
    <t>Madlienas mūzikas un mākslas skola</t>
  </si>
  <si>
    <t>09.600</t>
  </si>
  <si>
    <t>Izglītības papildu pakalpojumi</t>
  </si>
  <si>
    <t>09.810</t>
  </si>
  <si>
    <t>10.500</t>
  </si>
  <si>
    <t>Atbalsts bezdarba gadījumā</t>
  </si>
  <si>
    <t xml:space="preserve">Sabiedriskās organizācijas </t>
  </si>
  <si>
    <t>Bērnu nams "Laubere"</t>
  </si>
  <si>
    <t>Pansionāts "Madliena"</t>
  </si>
  <si>
    <t>Latvijas nacionālo karavīru biedrība</t>
  </si>
  <si>
    <t>F40 32 00 20</t>
  </si>
  <si>
    <t>Preces un pakalpojumi</t>
  </si>
  <si>
    <t>Komandējumi un dienesta braucieni</t>
  </si>
  <si>
    <t>Pakalpojumi</t>
  </si>
  <si>
    <t>Krājumi,materiāli,energoresursi,prece,biroja preces un inventārs, ko neuzskaita  5000. kodā</t>
  </si>
  <si>
    <t>Izdevumi periodikas iegādei</t>
  </si>
  <si>
    <t>Budžeta iestāžu nodokļu maksājumi</t>
  </si>
  <si>
    <t xml:space="preserve">Pārējie procentu maksājumi </t>
  </si>
  <si>
    <t>Pamatlīdzekļi</t>
  </si>
  <si>
    <t xml:space="preserve">Sociālie pabalsti naudā </t>
  </si>
  <si>
    <t>Sociālie pabalsti natūrā</t>
  </si>
  <si>
    <t xml:space="preserve"> IZDEVUMI KOPĀ</t>
  </si>
  <si>
    <t>2100</t>
  </si>
  <si>
    <t>2200</t>
  </si>
  <si>
    <t>5200</t>
  </si>
  <si>
    <t>2300</t>
  </si>
  <si>
    <t>21.1.0.0.</t>
  </si>
  <si>
    <t xml:space="preserve">Budžeta iestādes ieņēmumi no ārvalstu finanšu palīdzības </t>
  </si>
  <si>
    <t>5100</t>
  </si>
  <si>
    <t>F56010000</t>
  </si>
  <si>
    <t>Kapitālieguldījumu fondu akcijas</t>
  </si>
  <si>
    <t>PII "Sprīdītis"</t>
  </si>
  <si>
    <t>PII "Saulīte"</t>
  </si>
  <si>
    <t>Valsts kases kredīts   F40 32 00 10</t>
  </si>
  <si>
    <t>Atalgojums</t>
  </si>
  <si>
    <t xml:space="preserve">No vispārējiem ieņēmumiem </t>
  </si>
  <si>
    <t>Bezdarb nieku stipendi jas</t>
  </si>
  <si>
    <t>LAD projekts</t>
  </si>
  <si>
    <t>Kopā:</t>
  </si>
  <si>
    <t>Krapes pagasts</t>
  </si>
  <si>
    <t>Ķeipenes pagasts</t>
  </si>
  <si>
    <t>Lauberes pagasts</t>
  </si>
  <si>
    <t>Madlienas pagasts</t>
  </si>
  <si>
    <t>Mazozolu pagasts</t>
  </si>
  <si>
    <t>Meņģeles pagasts</t>
  </si>
  <si>
    <t>Suntažu pagasts</t>
  </si>
  <si>
    <t>Taurupes pagasts</t>
  </si>
  <si>
    <t>Kopā novadā:</t>
  </si>
  <si>
    <t>Izdevumu mērķa atšifrējums no vispārējiem ieņēmumiem</t>
  </si>
  <si>
    <t>10.400</t>
  </si>
  <si>
    <t>Atbalsts ģimenēm ar bērniem (Bāriņtiesas)</t>
  </si>
  <si>
    <t>Ūdenssaimniecības attīstības projekti pagastos</t>
  </si>
  <si>
    <t>Ogres Valsts ģimnāzija</t>
  </si>
  <si>
    <t>Finansējums grāmatām</t>
  </si>
  <si>
    <t>18.6.0.0.</t>
  </si>
  <si>
    <t>Pašvaldību budžetā saņemtie uzturēšanas izdevumu transferti no valsts budžeta</t>
  </si>
  <si>
    <t>Ogres sākumskola</t>
  </si>
  <si>
    <t>Kapitālais remonts un rekonstrukcija</t>
  </si>
  <si>
    <t>4.1.3.0.</t>
  </si>
  <si>
    <t>Nekustamā īpašuma nodoklis par mājokļiem</t>
  </si>
  <si>
    <t>Pašvaldību saņemtie transferti no valsts budžeta</t>
  </si>
  <si>
    <t>Pašvaldības budžeta iekšējie transferti starp vienas pašvaldības budžeta veidiem</t>
  </si>
  <si>
    <t>Pašvaldību saņemtie transferti no citām pašvaldībām</t>
  </si>
  <si>
    <t>Pašvaldības iestāžu saņemtie transferti no augstākstāvošās iestādes</t>
  </si>
  <si>
    <t>Ieņēmumi no budžeta iestāžu sniegtajiem maksas pakalpojumiem un citi pašu ieņēmumi</t>
  </si>
  <si>
    <t>01.100</t>
  </si>
  <si>
    <t xml:space="preserve">Izpildvaras un likumdošanas varas  institūcijas </t>
  </si>
  <si>
    <t>01.820</t>
  </si>
  <si>
    <t>Vispārēja rakstura transferti no pašvaldību budžeta valsts budžetam</t>
  </si>
  <si>
    <t>01.8302</t>
  </si>
  <si>
    <t xml:space="preserve">Izdevumi neparedzētiem gadījumiem </t>
  </si>
  <si>
    <t>03.110</t>
  </si>
  <si>
    <t>Pārējie sabiedriskās kārtības un drošības pakalpojumi (Video novērošanai Ogrē)</t>
  </si>
  <si>
    <t>04.11101</t>
  </si>
  <si>
    <t>Uzņēmējdarbības  attīstības veicināšanai</t>
  </si>
  <si>
    <t>04.11106</t>
  </si>
  <si>
    <t xml:space="preserve">Lauksaimniecība </t>
  </si>
  <si>
    <t>04.51001</t>
  </si>
  <si>
    <t>04.51004</t>
  </si>
  <si>
    <t>Pārējais autotransports</t>
  </si>
  <si>
    <t>04.6001</t>
  </si>
  <si>
    <t>05.1001</t>
  </si>
  <si>
    <t>05.2001</t>
  </si>
  <si>
    <t>05.2002</t>
  </si>
  <si>
    <t>05.300</t>
  </si>
  <si>
    <t>Vides piesārņojuma novēršana un samazināšana</t>
  </si>
  <si>
    <t>05.30002</t>
  </si>
  <si>
    <t>05.400</t>
  </si>
  <si>
    <t>Bioloģiskās daudzveidības un ainavas aizsardzība</t>
  </si>
  <si>
    <t>Teritoriju attīstība ( projektēšanai )</t>
  </si>
  <si>
    <t>06.3001</t>
  </si>
  <si>
    <t>06.60001</t>
  </si>
  <si>
    <t>06.60002</t>
  </si>
  <si>
    <t>06.60003</t>
  </si>
  <si>
    <t>06.60006</t>
  </si>
  <si>
    <t>06.60007</t>
  </si>
  <si>
    <t>06.60008</t>
  </si>
  <si>
    <t>06.60009</t>
  </si>
  <si>
    <t>06.60010</t>
  </si>
  <si>
    <t xml:space="preserve">      Saimniecības nodaļa</t>
  </si>
  <si>
    <t>07.2101</t>
  </si>
  <si>
    <t>07.2102</t>
  </si>
  <si>
    <t>08.1001</t>
  </si>
  <si>
    <t>08.1002</t>
  </si>
  <si>
    <t>08.2201</t>
  </si>
  <si>
    <t>08.2202</t>
  </si>
  <si>
    <t xml:space="preserve">    Kultūras centri, nami</t>
  </si>
  <si>
    <t>Pārējā citur neklasificētā kultūra</t>
  </si>
  <si>
    <t>08.29001</t>
  </si>
  <si>
    <t>08.29002</t>
  </si>
  <si>
    <t>08.29003</t>
  </si>
  <si>
    <t>08.310</t>
  </si>
  <si>
    <t xml:space="preserve">Pirmsskolas izglītība </t>
  </si>
  <si>
    <t>09.10001</t>
  </si>
  <si>
    <t>09.10002</t>
  </si>
  <si>
    <t>09.10003</t>
  </si>
  <si>
    <t>09.10004</t>
  </si>
  <si>
    <t>09.10005</t>
  </si>
  <si>
    <t>09.10006</t>
  </si>
  <si>
    <t>09.10007</t>
  </si>
  <si>
    <t>09.10008</t>
  </si>
  <si>
    <t>09.10009</t>
  </si>
  <si>
    <t>09.10010</t>
  </si>
  <si>
    <t>Sākumskolas (ISCED-97 1. līmenis)</t>
  </si>
  <si>
    <t>Vispārējās izglītības mācību iestāžu izdevumi (ISCED-97 1.- 3. līmenis)</t>
  </si>
  <si>
    <t>09.21901</t>
  </si>
  <si>
    <t>09.21902</t>
  </si>
  <si>
    <t>Ogres ģimnāzija</t>
  </si>
  <si>
    <t>09.21903</t>
  </si>
  <si>
    <t>09.21904</t>
  </si>
  <si>
    <t>09.21905</t>
  </si>
  <si>
    <t>09.21906</t>
  </si>
  <si>
    <t>09.21907</t>
  </si>
  <si>
    <t>09.21908</t>
  </si>
  <si>
    <t>09.21910</t>
  </si>
  <si>
    <t>09.5101</t>
  </si>
  <si>
    <t>09.5102</t>
  </si>
  <si>
    <t>09.5103</t>
  </si>
  <si>
    <t>09.5104</t>
  </si>
  <si>
    <t>09.5105</t>
  </si>
  <si>
    <t>09.5106</t>
  </si>
  <si>
    <t>Pārējā citur neklasificētā izglītība (izglītības projektu realizācija)</t>
  </si>
  <si>
    <t>09.82007</t>
  </si>
  <si>
    <t>09.82008</t>
  </si>
  <si>
    <t>10.70001</t>
  </si>
  <si>
    <t>10.70002</t>
  </si>
  <si>
    <t>10.70004</t>
  </si>
  <si>
    <t>10.70005</t>
  </si>
  <si>
    <t>10.70006</t>
  </si>
  <si>
    <t>10.70007</t>
  </si>
  <si>
    <t>10.70008</t>
  </si>
  <si>
    <t>10.70009</t>
  </si>
  <si>
    <t>10.70010</t>
  </si>
  <si>
    <t>10.70011</t>
  </si>
  <si>
    <t>01.830    7230</t>
  </si>
  <si>
    <t>Pašvaldību  uzturēšanas izdevumu transferti padotības iestādēm</t>
  </si>
  <si>
    <t>Darba devēja valsts sociālās apdrošināšanas obligātās iemaksas, sociālā rakstura pabalsti un kompensācijas</t>
  </si>
  <si>
    <t>Pakalpojumi, kurus budžeta iestādes apmaksā noteikto funkciju ietvaros, kas nav iestādes administratīvie izdevumi</t>
  </si>
  <si>
    <t>Subsīdijas un dotācijas komersantiem, biedrībām un nodibinājumiem</t>
  </si>
  <si>
    <t>Pārējie maksājumi iedzīvotājiem natūrā un kompensācijas</t>
  </si>
  <si>
    <t>Pašvaldību uzturēšanas izdevumu transferti</t>
  </si>
  <si>
    <t xml:space="preserve">Kopā </t>
  </si>
  <si>
    <t>06.100</t>
  </si>
  <si>
    <t>10.70013</t>
  </si>
  <si>
    <t>Latvijas Sarkanā Krusta Ogres komiteja</t>
  </si>
  <si>
    <t xml:space="preserve">Mērķdot. Kolekt.vad. darb.sam.    </t>
  </si>
  <si>
    <t xml:space="preserve">Mērķdot. visp.izgl. ped. darb.sam.  </t>
  </si>
  <si>
    <t xml:space="preserve">Mērķdotācija interer. izgl.    </t>
  </si>
  <si>
    <t xml:space="preserve">Mērķdot. 5.-6.gad. apm. ped.darb.sam   </t>
  </si>
  <si>
    <t>Mērķdot. Internāt skol.</t>
  </si>
  <si>
    <t>03.200</t>
  </si>
  <si>
    <t>04.51006</t>
  </si>
  <si>
    <t xml:space="preserve">       mājokļu apsaimniekošana</t>
  </si>
  <si>
    <t xml:space="preserve">       siltumapgāde</t>
  </si>
  <si>
    <t xml:space="preserve">       kapu saimniecība</t>
  </si>
  <si>
    <t xml:space="preserve">          Vēstures un mākslas muzejs</t>
  </si>
  <si>
    <t>08.29009</t>
  </si>
  <si>
    <t xml:space="preserve">Mērķis </t>
  </si>
  <si>
    <t>06.60011</t>
  </si>
  <si>
    <t>Ugunsdrošības, glābšanas un civilās drošības dienesti</t>
  </si>
  <si>
    <t>Pārējā citur neklasificētā izglītība</t>
  </si>
  <si>
    <t xml:space="preserve">  </t>
  </si>
  <si>
    <t>2500</t>
  </si>
  <si>
    <t>Krājumi, materiāli,energoresursi,preces</t>
  </si>
  <si>
    <t>3200</t>
  </si>
  <si>
    <t>Notekūdeņu savākšana un attīrīšana</t>
  </si>
  <si>
    <t>Dotācija biedrībām un organizācijām</t>
  </si>
  <si>
    <t>Ieņēmumi no pašvaldības īpašuma iznomāšanas, pārdošanas un nodokļu pamatp.kapitaliz.</t>
  </si>
  <si>
    <t>Publisko interneta pieejas punktu attīstība</t>
  </si>
  <si>
    <t>Energoauditu atzinumi</t>
  </si>
  <si>
    <t xml:space="preserve">      Īpašumu uzmērīšanai un reģistrēšanai Zemesgrāmatā</t>
  </si>
  <si>
    <t>Taurupes pamatskola</t>
  </si>
  <si>
    <t>Pensionāru biedrības darbības atbalstam</t>
  </si>
  <si>
    <t>EUR</t>
  </si>
  <si>
    <t>Finansējums māc.līdz.</t>
  </si>
  <si>
    <t>08.10002</t>
  </si>
  <si>
    <t>PII "Dzīpariņš"</t>
  </si>
  <si>
    <t>Pašvaldību saņemtie transferti no valsts budžeta daļēji finansētām atvasinātām publiskām personām un no budžeta nefinansētām iestādēm</t>
  </si>
  <si>
    <t>17.2.0.0.</t>
  </si>
  <si>
    <r>
      <t xml:space="preserve">Kods 18.6.3.0. “ </t>
    </r>
    <r>
      <rPr>
        <i/>
        <sz val="14"/>
        <rFont val="Times New Roman"/>
        <family val="1"/>
      </rPr>
      <t xml:space="preserve">Pašvaldību no valsts budžeta iestādēm saņemtie transferti ES politiku instrumentu  un pārējās ārvalstu finanšu palīdzības līdzfinansētajiem projektiem </t>
    </r>
    <r>
      <rPr>
        <sz val="14"/>
        <rFont val="Times New Roman"/>
        <family val="1"/>
      </rPr>
      <t xml:space="preserve">” </t>
    </r>
  </si>
  <si>
    <t>Ceļu būvniecībai un remontiem</t>
  </si>
  <si>
    <t>PA "Ogres kultūras c."</t>
  </si>
  <si>
    <t>Izpildvara</t>
  </si>
  <si>
    <r>
      <t xml:space="preserve">Kods 18.6.2.0. “ </t>
    </r>
    <r>
      <rPr>
        <i/>
        <sz val="14"/>
        <rFont val="Times New Roman"/>
        <family val="1"/>
      </rPr>
      <t>Pašvaldību budžetā saņemtie valsts transferti noteiktam mērķim</t>
    </r>
    <r>
      <rPr>
        <sz val="14"/>
        <rFont val="Times New Roman"/>
        <family val="1"/>
      </rPr>
      <t xml:space="preserve">” </t>
    </r>
  </si>
  <si>
    <t>6200</t>
  </si>
  <si>
    <t>Sociālie pabalsti naudā</t>
  </si>
  <si>
    <t>Muzejs</t>
  </si>
  <si>
    <t>21.3.0.0.0</t>
  </si>
  <si>
    <t>6300</t>
  </si>
  <si>
    <t>Mājokļu apsaimniekošana</t>
  </si>
  <si>
    <t>Siltumapgāde</t>
  </si>
  <si>
    <t>PA "Ogres kultūras centrs" izdevumi</t>
  </si>
  <si>
    <t>Pielikumā PA "ONKC" budž. korekc.</t>
  </si>
  <si>
    <t>Finansējums māc.literat. 5-6 gad.</t>
  </si>
  <si>
    <t>01.8301</t>
  </si>
  <si>
    <t xml:space="preserve">       Norēķini ar citu pašvaldību sociālo pakalpojumu iestādēm</t>
  </si>
  <si>
    <t>04.11110</t>
  </si>
  <si>
    <t>04.11111</t>
  </si>
  <si>
    <t>04.11112</t>
  </si>
  <si>
    <t xml:space="preserve">       Projekts "Veidojam vidi ap mums"</t>
  </si>
  <si>
    <t>06.60014</t>
  </si>
  <si>
    <t>Represēto piemiņas vietas labiekārtošana</t>
  </si>
  <si>
    <t>06.60015</t>
  </si>
  <si>
    <t>08.1003</t>
  </si>
  <si>
    <t>08.29004</t>
  </si>
  <si>
    <t xml:space="preserve">    Dalībai dziesmu un deju svētkos</t>
  </si>
  <si>
    <t>08.29012</t>
  </si>
  <si>
    <t xml:space="preserve">    Vidējās paaudzes deju kolektīvu deju svētkiem Jelgavā</t>
  </si>
  <si>
    <t>08.29011</t>
  </si>
  <si>
    <t>Finansējums bērniem, kuri apmeklē privātās pirmsskolas izglītūibas iestādes</t>
  </si>
  <si>
    <t>Starptautiskā sadarbība</t>
  </si>
  <si>
    <t>Budžeta atlikums uz 01.01.2015.</t>
  </si>
  <si>
    <t>Pielikumā PA "Ogres namsaimnieks" budž. korekc.</t>
  </si>
  <si>
    <t xml:space="preserve">Finansējums PA "Ogres namsaimnieks" </t>
  </si>
  <si>
    <t>PA Rosme</t>
  </si>
  <si>
    <t>Projektu pieteikumu izstrāde, tehniskās dokumentācijas sagat.un vides izvērtēšana</t>
  </si>
  <si>
    <t>06.60005</t>
  </si>
  <si>
    <t>Projektu konkurss RADI -Ogres novadam</t>
  </si>
  <si>
    <t>Biedrība "LUX VIRIDIA"</t>
  </si>
  <si>
    <t>10.70012</t>
  </si>
  <si>
    <t>Atkritumu apsaimniekošana un labiekārtošana</t>
  </si>
  <si>
    <t>Teritoriju attīstība (projektēšana)</t>
  </si>
  <si>
    <t xml:space="preserve">05.1001      </t>
  </si>
  <si>
    <t>PA "Ogres namsaimnieks" struktūrvien. "Neptūns" izdevumi</t>
  </si>
  <si>
    <t>PA "Ogres namsaimnieks" finansējums</t>
  </si>
  <si>
    <t>Budžeta nodaļas vadītāja</t>
  </si>
  <si>
    <t>PA "Rosme"</t>
  </si>
  <si>
    <t>Projekta nosaukums</t>
  </si>
  <si>
    <t xml:space="preserve">Valsts kasei atgriežamais kredīts </t>
  </si>
  <si>
    <t>01.890   2200</t>
  </si>
  <si>
    <t>F20010000 AS</t>
  </si>
  <si>
    <t>F20010000 AB</t>
  </si>
  <si>
    <t>1.,2.,3.,4. klases skoln. Ēdināš.</t>
  </si>
  <si>
    <t>PA "Rosme" izdevumi</t>
  </si>
  <si>
    <t>Pielikumā PA "Rosme" budžeta korekcijas</t>
  </si>
  <si>
    <t>PA ONKC atlikums uz gada beigām</t>
  </si>
  <si>
    <t>Finansējums struktūrvienībai "Neptūns"</t>
  </si>
  <si>
    <t>PA "Ogres namsaimnieks" izdevumi</t>
  </si>
  <si>
    <t xml:space="preserve">06.60002  </t>
  </si>
  <si>
    <t>PA Ogres namsaimnieks atlikums uz gada beigām</t>
  </si>
  <si>
    <t>Suntažu internātsk.</t>
  </si>
  <si>
    <t>10.4000</t>
  </si>
  <si>
    <t>PA Rosme atlikums uz gada beigām</t>
  </si>
  <si>
    <t>Kapu saimniecība</t>
  </si>
  <si>
    <t>09.82025</t>
  </si>
  <si>
    <t>P-449/2014</t>
  </si>
  <si>
    <t>Ogres upes dambja rekonstrukcijas 4.kārta</t>
  </si>
  <si>
    <t>Ogres novada pašvaldības 2016.gada budžeta ieņēmumi.</t>
  </si>
  <si>
    <t xml:space="preserve">Ogres un Ogresgala 2016.g. budžets </t>
  </si>
  <si>
    <t>Pašvald. aģentūras "Ogres namsaim- nieks" 2016.g. budžets</t>
  </si>
  <si>
    <t>Pašvald. aģentūras "Kultūras centrs" 2016.g. budžets</t>
  </si>
  <si>
    <t>Pašvald. aģentūras "Rosme" 2016.g. budžets</t>
  </si>
  <si>
    <t>Suntažu pagasta pārvaldes 2016.g. budžets</t>
  </si>
  <si>
    <t>Lauberes pagasta pārvaldes 2016.g. budžets</t>
  </si>
  <si>
    <t>Ķeipenes pagasta pārvaldes 2016.g. budžets</t>
  </si>
  <si>
    <t>Madlienas pagasta pārvaldes 2016.g. budžets</t>
  </si>
  <si>
    <t>Krapes pagasta pārvaldes 2016.g. budžets</t>
  </si>
  <si>
    <t>Mazozolu pagasta pārvaldes 2016.g. budžets</t>
  </si>
  <si>
    <t>Meņģeles pagasta pārvaldes 2016.g. budžets</t>
  </si>
  <si>
    <t>Taurupes pagasta pārvaldes 2016.g. budžets</t>
  </si>
  <si>
    <t>Ogres novada pašvaldības 2016.g. budžets</t>
  </si>
  <si>
    <t>9.9.0.0.</t>
  </si>
  <si>
    <t>Pārējās nodevas</t>
  </si>
  <si>
    <t>21.4.9.0</t>
  </si>
  <si>
    <t>Pārējie iepriekš neklasificētie pašu ieņēmumi</t>
  </si>
  <si>
    <t>F40 32 00 10</t>
  </si>
  <si>
    <t>Ogres novada pašvaldības 2016. gada budžeta  izdevumi atbilstoši funkcionālajām kategorijām.</t>
  </si>
  <si>
    <t>01.83045</t>
  </si>
  <si>
    <t xml:space="preserve">      Finansējums Ogres un Ikšķiles PA "Tūrisma, sporta un atpūtas kompleksa "Zilie kalni"attīstības aģentūra"</t>
  </si>
  <si>
    <t>03.2003</t>
  </si>
  <si>
    <t xml:space="preserve">     Pilsētas un lauku sadarbība efektīvai klimata pārmaiņu pielāgošanās rīcību plānošanai un ieviešanai reģionālajā līmenī</t>
  </si>
  <si>
    <t xml:space="preserve">     Projekts Lietpratīga pārvaldība un Latvijas pašvaldību veiktspējas uzlabošana</t>
  </si>
  <si>
    <t xml:space="preserve">    Zīmola grafiskā izstrāde</t>
  </si>
  <si>
    <t xml:space="preserve">    Informatīvi pasākumi uzņēmējiem</t>
  </si>
  <si>
    <t>04.11113</t>
  </si>
  <si>
    <t xml:space="preserve">    ES progr. Erasmus+ projekts Young environmental entrepreneurs (YEE) Portugāle</t>
  </si>
  <si>
    <t>04.11114</t>
  </si>
  <si>
    <t xml:space="preserve">    SAM 5,6,2, Hanza Matrix Ogres ražošanas teritorijas attīstība būvprojekta izstrāde </t>
  </si>
  <si>
    <t>04.11115</t>
  </si>
  <si>
    <t xml:space="preserve">    SAM 3.3.1. Uzņēmējdarbības attīstība Kartonfabrikas rajonā, rekonstruējot Brīvības ielas posmu Ogrē</t>
  </si>
  <si>
    <t>04.2101</t>
  </si>
  <si>
    <t xml:space="preserve">   Aizsargmola būvniecība pie Ogres ietekas Daugavā ar mērķi novērst plūdu un krasta erozijas risku apdraudējumu Ogres pilsētā</t>
  </si>
  <si>
    <t>04.2102</t>
  </si>
  <si>
    <t xml:space="preserve">   LAD projekts Koplietošanas meliorācijas sistēmu atjaunošana Ogres novada Ogresgala pagasta Ciemupes ciema lauksaimniecības zemēs</t>
  </si>
  <si>
    <t>04.2103</t>
  </si>
  <si>
    <t xml:space="preserve">   Vecā dambja rekonstrukcija ar mērķi novērst plūdu un krasta erozijas risku apdraudējumu Ogres pilsētā</t>
  </si>
  <si>
    <t xml:space="preserve">     Ogres upes promenādes otrā kārta</t>
  </si>
  <si>
    <t>04.51007</t>
  </si>
  <si>
    <t xml:space="preserve">     Grants ceļu bez cietā seguma posmu pārbūve Ogres novadā</t>
  </si>
  <si>
    <t xml:space="preserve">      Ielu tīrīšanai, atkritumu savākšanai,teritoriju labiekārtošanai</t>
  </si>
  <si>
    <t>05.1007</t>
  </si>
  <si>
    <t xml:space="preserve">      Koncesija atkritumu apsaimniekošana</t>
  </si>
  <si>
    <t>05.30010</t>
  </si>
  <si>
    <t>Ēkas Parka ielā 1, Ogrē siltināšana un rekonstrukcija, pielāgojot pirmsskolas izglītības iestādes vajadzībām</t>
  </si>
  <si>
    <t>05.30011</t>
  </si>
  <si>
    <t>Ēkas Upes prospektā 16, Ogrē  siltināšana un rekonstrukcija, pielāgojot Ogres novada Sociālā dienesta un tā struktūrvienību vajadzībām</t>
  </si>
  <si>
    <t>06.1001</t>
  </si>
  <si>
    <t xml:space="preserve">       Ēku Zinību ielā 8 un Dārziņu Palienes iela 4 nojaukšana</t>
  </si>
  <si>
    <t xml:space="preserve">       KPFI "Siltumnīcefekta gāzu emisiju samazin. Ogres pilsētas publiskās teritorijas apgaismojuma infrastruktūra II kārta", A6 šosejas apjoms</t>
  </si>
  <si>
    <t xml:space="preserve">      KPFI "Siltumnīcefekta gāzu emisiju samazin. Ogres novada pašvaldības publisko teritorijas apgaismojuma infrastruktūrā" </t>
  </si>
  <si>
    <t xml:space="preserve">      Represēto piemiņas vietas labiekārtošana</t>
  </si>
  <si>
    <t xml:space="preserve">      Latvijas simtgadei (Karoga masta uzstādīšana)</t>
  </si>
  <si>
    <t>06.60016</t>
  </si>
  <si>
    <t xml:space="preserve">      Pašvaldības teritoriju labiekārtošanai</t>
  </si>
  <si>
    <t xml:space="preserve">       Struktūrvienība "Neptūns"</t>
  </si>
  <si>
    <t xml:space="preserve">      Multifunkcionālā sporta un atpūtas parka izbūve</t>
  </si>
  <si>
    <t>08.1004</t>
  </si>
  <si>
    <t xml:space="preserve">       Struktūrvienība peldbaseins  "Neptūns"</t>
  </si>
  <si>
    <t>08.2203</t>
  </si>
  <si>
    <t xml:space="preserve">         Kultūrvēsturiskā peminekļa "Pie Zelta Liepas" rekonstrukcija</t>
  </si>
  <si>
    <t xml:space="preserve">    Projekts Ķeipenes estrādes būvniecība</t>
  </si>
  <si>
    <t xml:space="preserve">    Projektu konkurss RADI Ogres novadam (Kultūras, sporta un izglītības pasākumi, mācības, kursi)</t>
  </si>
  <si>
    <t>Pārējā izglītības vadība (Izglītības, kultūras un sporta pārvalde)</t>
  </si>
  <si>
    <t xml:space="preserve">         Projekts Skolēnu autobusi (Šveice)</t>
  </si>
  <si>
    <t xml:space="preserve">         Projekts Skolēnu autobusi (Soc.droš.tīkls)</t>
  </si>
  <si>
    <t>09.82023</t>
  </si>
  <si>
    <t xml:space="preserve">       Erasmus+ projekta ietvaros Ogres Valsts Ģimnāzijas mobilitātes projekts</t>
  </si>
  <si>
    <t xml:space="preserve">        Ģimnāzijas projekts ERASMUS programmas stratēģisko skolu sadarbības partnerību projekts (VĀCIJA)</t>
  </si>
  <si>
    <t>09.82026</t>
  </si>
  <si>
    <t xml:space="preserve">       Ģimnāzijas projekts ERASMUS programmas stratēģisko skolu sadarbības partnerību projekts (ČEHIJA)</t>
  </si>
  <si>
    <t>09.82027</t>
  </si>
  <si>
    <t xml:space="preserve">      OBJC projekts ERASMUS programmas " Cepam augšā!/Lets it up!"</t>
  </si>
  <si>
    <t>09.82028</t>
  </si>
  <si>
    <t xml:space="preserve">       Nordplus programma - Ogres Mūzikas skolas projekts "Innovative Bridge of Music"</t>
  </si>
  <si>
    <t>09.82029</t>
  </si>
  <si>
    <t xml:space="preserve">       PII ''Ābelīte'' pielāgošana Montesori skoliņai un labiekārtošana</t>
  </si>
  <si>
    <t>09.82030</t>
  </si>
  <si>
    <t xml:space="preserve">      8.1.2.SAM "Uzlabot vispārējās izglītības iestāžu mācību vidi Ogres novadā"</t>
  </si>
  <si>
    <t>10.70014</t>
  </si>
  <si>
    <t>Latvijas sieviešu invalīdu apvienība "Aspazija"</t>
  </si>
  <si>
    <t>F22010020</t>
  </si>
  <si>
    <t>Pieprasījuma noguldījuma izņemšana</t>
  </si>
  <si>
    <t>F55 01 00 11</t>
  </si>
  <si>
    <t>SIA MS siltums  pamatkapitāla palielināšanai (katlumāju rekonstrukcija) ; PSIA "Labs nams" pamatkapitāls</t>
  </si>
  <si>
    <t>Ogres novada pašvaldības 2016. gada budžeta  izdevumi atbilstoši ekonomiskajām kategorijām.</t>
  </si>
  <si>
    <t>Mācību, darba un dienesta komandējumi, dienesta, darba braucieni</t>
  </si>
  <si>
    <t>Kompensācijas, kuras izmaksā personām, pamatojoties uz Latvijas tiesu nolēmumiem</t>
  </si>
  <si>
    <t>Valsts budž.un pašv.budž.transferti un mērķdot.kapitālajiem izd.</t>
  </si>
  <si>
    <t xml:space="preserve">Ogres un Ogresgala 2016.g. budžeta korekc. </t>
  </si>
  <si>
    <t>Ogres novada  2016.gada budžeta ieņēmumu grozījumi.</t>
  </si>
  <si>
    <t>Pašvald. aģentūras "Ogres namsaimnieks" 2016.g. budž.korekc.</t>
  </si>
  <si>
    <t>Pašvald. aģentūras "Kultūras centrs" 2016.g.korekc.</t>
  </si>
  <si>
    <t>Pašvald. aģentūras "Rosme" 2016.g.korekc.</t>
  </si>
  <si>
    <t>Informācija par papildus izdevumu segšanai pieprasītajiem līdzekļiem 2016.gada budžeta grozījumos</t>
  </si>
  <si>
    <t>08.10004</t>
  </si>
  <si>
    <r>
      <t xml:space="preserve">Kods 12.3.0.0. “ </t>
    </r>
    <r>
      <rPr>
        <i/>
        <sz val="14"/>
        <rFont val="Times New Roman"/>
        <family val="1"/>
      </rPr>
      <t>Pārējie nenodokļu ieņēmumi</t>
    </r>
    <r>
      <rPr>
        <sz val="14"/>
        <rFont val="Times New Roman"/>
        <family val="1"/>
      </rPr>
      <t xml:space="preserve">” </t>
    </r>
  </si>
  <si>
    <t>If P&amp;C AS Latvijas filiāle - apdrošināšanas atlīdzība par bojāto ceļazīmi uz A6 šosejas</t>
  </si>
  <si>
    <t>VARAM - par 2015.g. veiktajiem nenoskaidroto personu apbedīššanas pakalpojumiem</t>
  </si>
  <si>
    <t>VARAM - par 2015.g. veiktajiem atskurbtuves pakalpojumiem</t>
  </si>
  <si>
    <t>LR Izglītības un zinātnes ministrija - Ģimnāzijai reģionālā metdiskā centra un pedagogu tālākizglītības centra darbībai</t>
  </si>
  <si>
    <t>Valsts kultūrkapitāla fonds - muzeja pastāvīgās ekspozīcijas satura un mākslinieciskās koncepcijas izstrādei</t>
  </si>
  <si>
    <t>No Ikšķiles un Ķeguma novada pašvaldībām - Sporta centram par audzēkņu piedalīšanos mācību treniņnometnē Spānijā</t>
  </si>
  <si>
    <t>Valsts kultūrkapitāla fonds - Mākslas skolai vizuālās izglītības iestāžu materiāli tehniskās bāzes uzlabošanai</t>
  </si>
  <si>
    <t>Pamatlīdzekļu izveidošana, nepabeigtā celtniecība</t>
  </si>
  <si>
    <t>Biedrība "Baltā dūja"</t>
  </si>
  <si>
    <t>10.70016</t>
  </si>
  <si>
    <r>
      <rPr>
        <sz val="11"/>
        <color indexed="30"/>
        <rFont val="Times New Roman"/>
        <family val="1"/>
      </rPr>
      <t xml:space="preserve">Lēmums </t>
    </r>
    <r>
      <rPr>
        <sz val="11"/>
        <rFont val="Times New Roman"/>
        <family val="1"/>
      </rPr>
      <t>EUR 64 273 Ciemupes veloceliņa izbūves papildus darbiem</t>
    </r>
  </si>
  <si>
    <r>
      <rPr>
        <sz val="11"/>
        <color indexed="30"/>
        <rFont val="Times New Roman"/>
        <family val="1"/>
      </rPr>
      <t>Lēmums</t>
    </r>
    <r>
      <rPr>
        <sz val="11"/>
        <rFont val="Times New Roman"/>
        <family val="1"/>
      </rPr>
      <t xml:space="preserve"> EUR 9 000 Enduro Eiropas posma sacensību organizēšanai</t>
    </r>
  </si>
  <si>
    <r>
      <rPr>
        <sz val="11"/>
        <color indexed="30"/>
        <rFont val="Times New Roman"/>
        <family val="1"/>
      </rPr>
      <t>Lēmums</t>
    </r>
    <r>
      <rPr>
        <sz val="11"/>
        <rFont val="Times New Roman"/>
        <family val="1"/>
      </rPr>
      <t xml:space="preserve"> EUR 1 945 sanmezgla remontam</t>
    </r>
  </si>
  <si>
    <r>
      <rPr>
        <sz val="11"/>
        <color indexed="30"/>
        <rFont val="Times New Roman"/>
        <family val="1"/>
      </rPr>
      <t>Lēmum</t>
    </r>
    <r>
      <rPr>
        <sz val="11"/>
        <rFont val="Times New Roman"/>
        <family val="1"/>
      </rPr>
      <t>s EUR 27 000 stadiona seguma daļējai atjaunošanai</t>
    </r>
  </si>
  <si>
    <r>
      <rPr>
        <sz val="11"/>
        <color indexed="30"/>
        <rFont val="Times New Roman"/>
        <family val="1"/>
      </rPr>
      <t>Lēmums</t>
    </r>
    <r>
      <rPr>
        <sz val="11"/>
        <rFont val="Times New Roman"/>
        <family val="1"/>
      </rPr>
      <t xml:space="preserve"> EUR 1 630 trīs dienu radošo un sporta aktivit. pasākumam cilvēkiem ar īpašām vajadzībām</t>
    </r>
  </si>
  <si>
    <r>
      <rPr>
        <sz val="11"/>
        <color indexed="30"/>
        <rFont val="Times New Roman"/>
        <family val="1"/>
      </rPr>
      <t>Lēmums</t>
    </r>
    <r>
      <rPr>
        <sz val="11"/>
        <rFont val="Times New Roman"/>
        <family val="1"/>
      </rPr>
      <t xml:space="preserve"> EUR 300 darbības atbalstam</t>
    </r>
  </si>
  <si>
    <r>
      <rPr>
        <sz val="11"/>
        <color indexed="30"/>
        <rFont val="Times New Roman"/>
        <family val="1"/>
      </rPr>
      <t>Lēmums</t>
    </r>
    <r>
      <rPr>
        <sz val="11"/>
        <rFont val="Times New Roman"/>
        <family val="1"/>
      </rPr>
      <t xml:space="preserve"> EUR 10 000 skolēnu vasaras darba apmaksai</t>
    </r>
  </si>
  <si>
    <t>EUR 1715 VKKF finansējums proj. Vizuālās mākslas izglīt. Iiestāžu materiāli tehniskās bāzes uzlabošanai (stelles, šujmašīna un overloks)</t>
  </si>
  <si>
    <t>EUR 790 no Ikšķiles nov.pašv. un EUR 200 no Ķeguma nov.pašv. finansējums par audzēkņu piedalīšanos mācību treniņnometnē Spānijā</t>
  </si>
  <si>
    <t>EUR 2 360 papildus konsultācijas pretendentu izvēlei Mālkalnes prospekta rekonstrukcijas vajadzībām; EUR 1 427 gājēju ietve pie dzelzceļa pārbrauktuves pārcelts no kapitālajiem rem.</t>
  </si>
  <si>
    <t>EUR 5 000 no VKKF saņemtais finansējums muzeja pastāvīgās ekspozīcijas satura un mākslinieciskās koncepcijas izstrādei</t>
  </si>
  <si>
    <t>EUR 1423 no IZM reģ. metodiskā centra un pedagogu tālākizglītības centra darbībai</t>
  </si>
  <si>
    <t>mācību ekskursijai - iepriekšējā gadā konkursā iegūtā balva</t>
  </si>
  <si>
    <t>Papildus EUR 3 520 sākumskolas renovācijas projekta izstrādei</t>
  </si>
  <si>
    <t>Papildus EUR 58 019 Mālkalnes prosp. rekonstrukcijai; EUR 1427 pārcelts uz pakalpojumiem</t>
  </si>
  <si>
    <r>
      <rPr>
        <sz val="11"/>
        <color indexed="30"/>
        <rFont val="Times New Roman"/>
        <family val="1"/>
      </rPr>
      <t xml:space="preserve">Lēmums EUR 6 979 </t>
    </r>
    <r>
      <rPr>
        <sz val="11"/>
        <rFont val="Times New Roman"/>
        <family val="1"/>
      </rPr>
      <t>projekta tāmes palielinājums saskaņā ar iepirkumu</t>
    </r>
  </si>
  <si>
    <t>05.4002</t>
  </si>
  <si>
    <t>Jauns projekts</t>
  </si>
  <si>
    <t>LAD proj. "Ogres novada publisko ūdeņu zivju resursu aizsardības pilnveidei"</t>
  </si>
  <si>
    <t>Transportlīdzekļi</t>
  </si>
  <si>
    <r>
      <rPr>
        <sz val="11"/>
        <color indexed="30"/>
        <rFont val="Times New Roman"/>
        <family val="1"/>
      </rPr>
      <t>Lēmums</t>
    </r>
    <r>
      <rPr>
        <sz val="11"/>
        <rFont val="Times New Roman"/>
        <family val="1"/>
      </rPr>
      <t xml:space="preserve"> EUR 10 566 projekta līdzfinansējuma un priekšfinansējuma nodrošināšanai</t>
    </r>
  </si>
  <si>
    <r>
      <rPr>
        <sz val="11"/>
        <color indexed="30"/>
        <rFont val="Times New Roman"/>
        <family val="1"/>
      </rPr>
      <t>Lēmums</t>
    </r>
    <r>
      <rPr>
        <sz val="11"/>
        <rFont val="Times New Roman"/>
        <family val="1"/>
      </rPr>
      <t xml:space="preserve"> Jumta seguma atjaunošana atdzelžošanas stacijai </t>
    </r>
  </si>
  <si>
    <r>
      <rPr>
        <sz val="11"/>
        <color indexed="30"/>
        <rFont val="Times New Roman"/>
        <family val="1"/>
      </rPr>
      <t>Lēmums</t>
    </r>
    <r>
      <rPr>
        <sz val="11"/>
        <rFont val="Times New Roman"/>
        <family val="1"/>
      </rPr>
      <t xml:space="preserve"> bīstamo sauso koku zāģēšanai</t>
    </r>
  </si>
  <si>
    <t>Iesniegums Ķeipenes komunikācijas centram vides instalācijas objekta "Eizenšteina aka" izbūvei</t>
  </si>
  <si>
    <t>Projekts RADI</t>
  </si>
  <si>
    <t xml:space="preserve">   Kultūrvēsturiskā peminekļa "Pie Zelta Liepas" rekonstrukcija</t>
  </si>
  <si>
    <t>Iepirkuma tehniskās dokumentācijas izstrādei</t>
  </si>
  <si>
    <r>
      <rPr>
        <sz val="11"/>
        <color indexed="30"/>
        <rFont val="Times New Roman"/>
        <family val="1"/>
      </rPr>
      <t>Lēmums</t>
    </r>
    <r>
      <rPr>
        <sz val="11"/>
        <rFont val="Times New Roman"/>
        <family val="1"/>
      </rPr>
      <t xml:space="preserve"> EUR 500 skolēnu nometnei nodarbībām</t>
    </r>
  </si>
  <si>
    <t>Civilās aizsardzības plāna izstrādei</t>
  </si>
  <si>
    <t xml:space="preserve">PVD - par likvidētajiem un savāktajiem mežacūku līķiem </t>
  </si>
  <si>
    <t>03.2004</t>
  </si>
  <si>
    <t>No PVD par mežacūku līķiem</t>
  </si>
  <si>
    <t>Kondicioniera iegāde datu centrā, montāža</t>
  </si>
  <si>
    <t>CFLA proj." Novērst plūdu un krasta erozijasa risku apdraudējumu Ogres pilsētas teritorijā"</t>
  </si>
  <si>
    <r>
      <t xml:space="preserve">Kods 18.6.9.0. “ </t>
    </r>
    <r>
      <rPr>
        <i/>
        <sz val="14"/>
        <rFont val="Times New Roman"/>
        <family val="1"/>
      </rPr>
      <t xml:space="preserve">Pārējie pašvaldību  saņemtie valsts budžeta iestāžu transferti </t>
    </r>
    <r>
      <rPr>
        <sz val="14"/>
        <rFont val="Times New Roman"/>
        <family val="1"/>
      </rPr>
      <t xml:space="preserve">” </t>
    </r>
  </si>
  <si>
    <t>par apelācijas sūdzību</t>
  </si>
  <si>
    <t>Projekts Lietpratīga pārvaldība un Latvijas pašvaldību veiktspējas uzlabošana</t>
  </si>
  <si>
    <t>Projekts realizēts</t>
  </si>
  <si>
    <t>SAM 3.3.1. Uzņēmējdarbības attīstība Kartonfabrikas rajonā, rekonstruējot Brīvības ielas posmu Ogrē</t>
  </si>
  <si>
    <t>Papildus Brīvības ielas un veloceliņa (no Suntažu ielas līdz pilsētas robežai) TP aktualizēšanai</t>
  </si>
  <si>
    <t>6500</t>
  </si>
  <si>
    <t>Mālkalnes prospekta pārbūvei</t>
  </si>
  <si>
    <t>Elektro pieslēgumu ierīkošanai</t>
  </si>
  <si>
    <t>06.400   2200</t>
  </si>
  <si>
    <t>Autobusa iegādei Suntažu pagasta pārvaldei</t>
  </si>
  <si>
    <t>Autobusa iegādei Madlienas pagasta pārvaldei</t>
  </si>
  <si>
    <t>Valsts nodevas atmaksa sakarā ar tiesvedības izbeigšanu un pieteicējiem labvēlīgu administratīvā akta izdošanu, ar kuru tiktu saskaņotas dārza mājas rekonstrukcijas būvprojekta izmaiņas</t>
  </si>
  <si>
    <t>Savstarpēja vienošanās</t>
  </si>
  <si>
    <t>EUR 3000 pārcelts uz IT pakalpojumiem</t>
  </si>
  <si>
    <t>Nematerālie ieguldījumi</t>
  </si>
  <si>
    <t>EUR 791 no ieņēmumiem par Vidzemes reģiona mūsdienu deju radošā konkursa dalības maksām un iekšējas korekcijas</t>
  </si>
  <si>
    <t xml:space="preserve">Ieņēmumi par Vidzemes reģiona mūsdienu deju radošā konkursa dalības maksām </t>
  </si>
  <si>
    <t>Jaunatnes politikas valsts programma ''Jaunieši par Ogres novada pagastiem''</t>
  </si>
  <si>
    <t>09.82031</t>
  </si>
  <si>
    <t xml:space="preserve">Apstiprināts jauns projekts </t>
  </si>
  <si>
    <t>Nordplus programma - Ogres Mūzikas skolas projekts "Innovative Bridge of Music"</t>
  </si>
  <si>
    <t>ES projekts "Deinstitucionalizācija un sociālie pakalpojumi personām ar invaliditāti un bērniem"</t>
  </si>
  <si>
    <t>10.70015</t>
  </si>
  <si>
    <t>Pārcelts no domes projektiem</t>
  </si>
  <si>
    <t>EUR 3322 pārcelts Kultūras centra budžetā sab. organiz. pāsāk. rīkoš.</t>
  </si>
  <si>
    <t>Pārskaitīts pēc noslēgtā līguma proj. RADI</t>
  </si>
  <si>
    <t xml:space="preserve">Finansējums PA "Rosme" </t>
  </si>
  <si>
    <r>
      <rPr>
        <sz val="11"/>
        <color indexed="30"/>
        <rFont val="Times New Roman"/>
        <family val="1"/>
      </rPr>
      <t>Lēmums</t>
    </r>
    <r>
      <rPr>
        <sz val="11"/>
        <rFont val="Times New Roman"/>
        <family val="1"/>
      </rPr>
      <t xml:space="preserve">  EUR 1728 Jumta seguma atjaunošana atdzelžošanas stacijai</t>
    </r>
  </si>
  <si>
    <t>Finansējums PA "Rosme"</t>
  </si>
  <si>
    <t>EUR 4000 vienošanās ar Suntažu pag. pārvaldi par īres dzīvokļu remontmateriāliem</t>
  </si>
  <si>
    <t>EUR - 832 par "Ogres Namsaimnieks" pakalpojumiem</t>
  </si>
  <si>
    <t>Iesniegums  - ventilācijas remontam</t>
  </si>
  <si>
    <t>EUR -400 vienošanās ar Suntažu pag. pārvaldi par estrādes īri novada 1.-4. klašu koru festiv. "Tauriņu balsis"</t>
  </si>
  <si>
    <t>Savstarpēja vienošanās ar OBJC par estrādes īri 1.-4. kl. koru festiv. "Tautriņu balsis"</t>
  </si>
  <si>
    <t>Vienošanās ar pansionātu Madlina</t>
  </si>
  <si>
    <t xml:space="preserve">EUR 1200 no VKKF proj. "Atbalsts pūšaminstrumentu iegādei Ogres mūzikas skolai" un papildus EUR 5328 par iegādātā flīģeļa PVN samaksu </t>
  </si>
  <si>
    <t>Valsts kultūrkapitāla fonds - Mūzikas skolai pūšaminstrumentu iegādei</t>
  </si>
  <si>
    <t>Projekts "Jaunieši par Ogres novada pagastiem"</t>
  </si>
  <si>
    <t>Ieņēmumi no dalības maksām par nometni</t>
  </si>
  <si>
    <t>Budžeta  atl.uz  01. 01. 2016.g.        F22010010</t>
  </si>
  <si>
    <t>Kredīta atmaksa        F40322220</t>
  </si>
  <si>
    <t>Līdzekļu atlikums uz gada beigām (Kases apgrozāmie līdzekļi)  F22010020</t>
  </si>
  <si>
    <t>Civilās drošības dienesti</t>
  </si>
  <si>
    <t xml:space="preserve">      Jaunatnes politikas valsts programma ''Jaunieši par Ogres novada pagastiem''</t>
  </si>
  <si>
    <t xml:space="preserve">       Zivju fonda projekts Ogres novada publisko ūdeņu zivju resursu aizsardzības</t>
  </si>
  <si>
    <t xml:space="preserve">       ES projekts "Deinstitucionalizācija un sociālie pakalpojumi personām ar invaliditāti un bērniem"</t>
  </si>
  <si>
    <t>Grants ceļu bez cietā seguma posmu pārbūve Ogres novadā</t>
  </si>
  <si>
    <t>25% pašvaldības līdzfinansaējums lauku ceļu projektēšanai no EUR 39815,05</t>
  </si>
  <si>
    <t>Apkures katla iegādei</t>
  </si>
  <si>
    <t>Stelles</t>
  </si>
  <si>
    <t>Sujmašīna, overloks</t>
  </si>
  <si>
    <t>EUR 13785 Pludmales labiekārtošanas darbi Ogresgalā</t>
  </si>
  <si>
    <r>
      <rPr>
        <sz val="11"/>
        <color indexed="30"/>
        <rFont val="Times New Roman"/>
        <family val="1"/>
      </rPr>
      <t>Lēmums</t>
    </r>
    <r>
      <rPr>
        <sz val="11"/>
        <rFont val="Times New Roman"/>
        <family val="1"/>
      </rPr>
      <t xml:space="preserve"> EUR 2 000 pablsts 3 bērnu ģimenei, apgādnieku - tēvu zaudējot; EUR 929 mirušā transportēšanai</t>
    </r>
  </si>
  <si>
    <t>Papildus EUR 10000 iebūvētajām mēbelēm; iekšējas korekcijas uz remontiem EUR -16860</t>
  </si>
  <si>
    <r>
      <t xml:space="preserve">Informācija par Ogres novada pamatbudžeta transferta maksājumiem, kādiem jābūt </t>
    </r>
    <r>
      <rPr>
        <b/>
        <sz val="10"/>
        <rFont val="Arial"/>
        <family val="2"/>
      </rPr>
      <t>plānotajā 2016.gada jūlija budžeta grozījumos</t>
    </r>
    <r>
      <rPr>
        <sz val="10"/>
        <rFont val="Arial"/>
        <family val="0"/>
      </rPr>
      <t>.</t>
    </r>
  </si>
  <si>
    <t>21.07.2016. Saistošajiem noteikumiem Nr.11/2016</t>
  </si>
</sst>
</file>

<file path=xl/styles.xml><?xml version="1.0" encoding="utf-8"?>
<styleSheet xmlns="http://schemas.openxmlformats.org/spreadsheetml/2006/main">
  <numFmts count="6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\ &quot;Ls&quot;;\-#,##0\ &quot;Ls&quot;"/>
    <numFmt numFmtId="185" formatCode="#,##0\ &quot;Ls&quot;;[Red]\-#,##0\ &quot;Ls&quot;"/>
    <numFmt numFmtId="186" formatCode="#,##0.00\ &quot;Ls&quot;;\-#,##0.00\ &quot;Ls&quot;"/>
    <numFmt numFmtId="187" formatCode="#,##0.00\ &quot;Ls&quot;;[Red]\-#,##0.00\ &quot;Ls&quot;"/>
    <numFmt numFmtId="188" formatCode="_-* #,##0\ &quot;Ls&quot;_-;\-* #,##0\ &quot;Ls&quot;_-;_-* &quot;-&quot;\ &quot;Ls&quot;_-;_-@_-"/>
    <numFmt numFmtId="189" formatCode="_-* #,##0\ _L_s_-;\-* #,##0\ _L_s_-;_-* &quot;-&quot;\ _L_s_-;_-@_-"/>
    <numFmt numFmtId="190" formatCode="_-* #,##0.00\ &quot;Ls&quot;_-;\-* #,##0.00\ &quot;Ls&quot;_-;_-* &quot;-&quot;??\ &quot;Ls&quot;_-;_-@_-"/>
    <numFmt numFmtId="191" formatCode="_-* #,##0.00\ _L_s_-;\-* #,##0.00\ _L_s_-;_-* &quot;-&quot;??\ _L_s_-;_-@_-"/>
    <numFmt numFmtId="192" formatCode="0.0"/>
    <numFmt numFmtId="193" formatCode="0.0000"/>
    <numFmt numFmtId="194" formatCode="0.000"/>
    <numFmt numFmtId="195" formatCode="0.0%"/>
    <numFmt numFmtId="196" formatCode="0.000000000"/>
    <numFmt numFmtId="197" formatCode="0.0000000000"/>
    <numFmt numFmtId="198" formatCode="0.00000000"/>
    <numFmt numFmtId="199" formatCode="0.0000000"/>
    <numFmt numFmtId="200" formatCode="0.000000"/>
    <numFmt numFmtId="201" formatCode="0.00000"/>
    <numFmt numFmtId="202" formatCode="#,##0.0"/>
    <numFmt numFmtId="203" formatCode="_-* #,##0.0_-;\-* #,##0.0_-;_-* &quot;-&quot;??_-;_-@_-"/>
    <numFmt numFmtId="204" formatCode="_-* #,##0_-;\-* #,##0_-;_-* &quot;-&quot;??_-;_-@_-"/>
    <numFmt numFmtId="205" formatCode="_-&quot;Ls&quot;\ * #,##0.0_-;\-&quot;Ls&quot;\ * #,##0.0_-;_-&quot;Ls&quot;\ * &quot;-&quot;??_-;_-@_-"/>
    <numFmt numFmtId="206" formatCode="_-&quot;Ls&quot;\ * #,##0_-;\-&quot;Ls&quot;\ * #,##0_-;_-&quot;Ls&quot;\ * &quot;-&quot;??_-;_-@_-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0."/>
    <numFmt numFmtId="211" formatCode="000000"/>
    <numFmt numFmtId="212" formatCode="dd/mm/yy"/>
    <numFmt numFmtId="213" formatCode="[$€-2]\ #,##0.00_);[Red]\([$€-2]\ #,##0.00\)"/>
    <numFmt numFmtId="214" formatCode="#,##0.000"/>
    <numFmt numFmtId="215" formatCode="&quot;Jā&quot;;&quot;Jā&quot;;&quot;Nē&quot;"/>
    <numFmt numFmtId="216" formatCode="&quot;Patiess&quot;;&quot;Patiess&quot;;&quot;Aplams&quot;"/>
    <numFmt numFmtId="217" formatCode="&quot;Ieslēgts&quot;;&quot;Ieslēgts&quot;;&quot;Izslēgts&quot;"/>
    <numFmt numFmtId="218" formatCode="[$€-2]\ #\ ##,000_);[Red]\([$€-2]\ #\ ##,000\)"/>
  </numFmts>
  <fonts count="54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1"/>
      <color indexed="10"/>
      <name val="Times New Roman"/>
      <family val="1"/>
    </font>
    <font>
      <sz val="10"/>
      <color indexed="10"/>
      <name val="Arial"/>
      <family val="2"/>
    </font>
    <font>
      <sz val="16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b/>
      <sz val="11"/>
      <color indexed="12"/>
      <name val="Times New Roman"/>
      <family val="1"/>
    </font>
    <font>
      <i/>
      <sz val="11"/>
      <name val="Times New Roman"/>
      <family val="1"/>
    </font>
    <font>
      <i/>
      <sz val="11"/>
      <color indexed="10"/>
      <name val="Times New Roman"/>
      <family val="1"/>
    </font>
    <font>
      <sz val="11"/>
      <name val="Times New Roman Baltic"/>
      <family val="1"/>
    </font>
    <font>
      <b/>
      <sz val="11"/>
      <color indexed="48"/>
      <name val="Times New Roman"/>
      <family val="1"/>
    </font>
    <font>
      <b/>
      <sz val="11"/>
      <color indexed="40"/>
      <name val="Times New Roman"/>
      <family val="1"/>
    </font>
    <font>
      <b/>
      <i/>
      <sz val="11"/>
      <color indexed="48"/>
      <name val="Times New Roman"/>
      <family val="1"/>
    </font>
    <font>
      <sz val="11"/>
      <color indexed="30"/>
      <name val="Times New Roman"/>
      <family val="1"/>
    </font>
    <font>
      <sz val="11"/>
      <color indexed="30"/>
      <name val="Times New Roman Baltic"/>
      <family val="0"/>
    </font>
    <font>
      <sz val="10"/>
      <color indexed="10"/>
      <name val="Times New Roman"/>
      <family val="1"/>
    </font>
    <font>
      <b/>
      <sz val="11"/>
      <color indexed="30"/>
      <name val="Times New Roman"/>
      <family val="1"/>
    </font>
    <font>
      <sz val="9"/>
      <name val="Arial"/>
      <family val="2"/>
    </font>
    <font>
      <sz val="12"/>
      <color indexed="8"/>
      <name val="Times New Roman"/>
      <family val="1"/>
    </font>
    <font>
      <sz val="11"/>
      <color indexed="4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7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3" fillId="20" borderId="1" applyNumberFormat="0" applyAlignment="0" applyProtection="0"/>
    <xf numFmtId="0" fontId="2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9" borderId="1" applyNumberFormat="0" applyAlignment="0" applyProtection="0"/>
    <xf numFmtId="0" fontId="6" fillId="0" borderId="0" applyNumberFormat="0" applyFill="0" applyBorder="0" applyAlignment="0" applyProtection="0"/>
    <xf numFmtId="0" fontId="24" fillId="20" borderId="2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16" fillId="6" borderId="0" applyNumberFormat="0" applyBorder="0" applyAlignment="0" applyProtection="0"/>
    <xf numFmtId="0" fontId="22" fillId="21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22" borderId="4" applyNumberFormat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1" fillId="0" borderId="6" applyNumberFormat="0" applyFill="0" applyAlignment="0" applyProtection="0"/>
    <xf numFmtId="0" fontId="12" fillId="5" borderId="0" applyNumberFormat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30">
    <xf numFmtId="0" fontId="0" fillId="0" borderId="0" xfId="0" applyAlignment="1">
      <alignment/>
    </xf>
    <xf numFmtId="3" fontId="7" fillId="0" borderId="0" xfId="0" applyNumberFormat="1" applyFont="1" applyAlignment="1" applyProtection="1">
      <alignment wrapText="1"/>
      <protection/>
    </xf>
    <xf numFmtId="3" fontId="7" fillId="0" borderId="0" xfId="0" applyNumberFormat="1" applyFont="1" applyAlignment="1" applyProtection="1">
      <alignment/>
      <protection/>
    </xf>
    <xf numFmtId="3" fontId="7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left" wrapText="1"/>
      <protection/>
    </xf>
    <xf numFmtId="0" fontId="8" fillId="0" borderId="0" xfId="0" applyFont="1" applyBorder="1" applyAlignment="1" applyProtection="1">
      <alignment/>
      <protection/>
    </xf>
    <xf numFmtId="3" fontId="8" fillId="0" borderId="0" xfId="0" applyNumberFormat="1" applyFont="1" applyBorder="1" applyAlignment="1" applyProtection="1">
      <alignment/>
      <protection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right"/>
    </xf>
    <xf numFmtId="0" fontId="7" fillId="0" borderId="0" xfId="0" applyFont="1" applyBorder="1" applyAlignment="1">
      <alignment wrapText="1"/>
    </xf>
    <xf numFmtId="0" fontId="0" fillId="0" borderId="10" xfId="0" applyFont="1" applyFill="1" applyBorder="1" applyAlignment="1">
      <alignment/>
    </xf>
    <xf numFmtId="3" fontId="7" fillId="0" borderId="0" xfId="0" applyNumberFormat="1" applyFont="1" applyFill="1" applyBorder="1" applyAlignment="1" applyProtection="1">
      <alignment horizontal="right" wrapText="1"/>
      <protection/>
    </xf>
    <xf numFmtId="3" fontId="7" fillId="0" borderId="0" xfId="0" applyNumberFormat="1" applyFont="1" applyBorder="1" applyAlignment="1" applyProtection="1">
      <alignment horizontal="right"/>
      <protection/>
    </xf>
    <xf numFmtId="0" fontId="30" fillId="0" borderId="0" xfId="0" applyFont="1" applyAlignment="1">
      <alignment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wrapText="1"/>
      <protection/>
    </xf>
    <xf numFmtId="0" fontId="7" fillId="0" borderId="0" xfId="0" applyFont="1" applyFill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wrapText="1"/>
    </xf>
    <xf numFmtId="9" fontId="0" fillId="0" borderId="10" xfId="0" applyNumberFormat="1" applyFont="1" applyBorder="1" applyAlignment="1">
      <alignment horizontal="center" wrapText="1"/>
    </xf>
    <xf numFmtId="0" fontId="0" fillId="0" borderId="10" xfId="0" applyFill="1" applyBorder="1" applyAlignment="1">
      <alignment wrapText="1"/>
    </xf>
    <xf numFmtId="3" fontId="7" fillId="0" borderId="10" xfId="0" applyNumberFormat="1" applyFont="1" applyFill="1" applyBorder="1" applyAlignment="1">
      <alignment/>
    </xf>
    <xf numFmtId="1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3" fontId="2" fillId="0" borderId="1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3" fontId="0" fillId="0" borderId="10" xfId="0" applyNumberFormat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3" fontId="8" fillId="0" borderId="10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0" fontId="34" fillId="0" borderId="0" xfId="0" applyFont="1" applyFill="1" applyBorder="1" applyAlignment="1">
      <alignment horizontal="center" wrapText="1"/>
    </xf>
    <xf numFmtId="3" fontId="8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wrapText="1"/>
    </xf>
    <xf numFmtId="1" fontId="1" fillId="0" borderId="10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194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0" fontId="7" fillId="0" borderId="0" xfId="0" applyFont="1" applyBorder="1" applyAlignment="1">
      <alignment horizontal="left" wrapText="1"/>
    </xf>
    <xf numFmtId="3" fontId="33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30" fillId="0" borderId="10" xfId="0" applyFont="1" applyBorder="1" applyAlignment="1">
      <alignment/>
    </xf>
    <xf numFmtId="0" fontId="7" fillId="0" borderId="10" xfId="0" applyFont="1" applyFill="1" applyBorder="1" applyAlignment="1" applyProtection="1">
      <alignment horizontal="left" wrapText="1"/>
      <protection/>
    </xf>
    <xf numFmtId="0" fontId="7" fillId="0" borderId="10" xfId="0" applyFont="1" applyFill="1" applyBorder="1" applyAlignment="1" applyProtection="1">
      <alignment/>
      <protection/>
    </xf>
    <xf numFmtId="0" fontId="33" fillId="0" borderId="0" xfId="0" applyFont="1" applyFill="1" applyBorder="1" applyAlignment="1" applyProtection="1">
      <alignment/>
      <protection/>
    </xf>
    <xf numFmtId="3" fontId="2" fillId="0" borderId="0" xfId="0" applyNumberFormat="1" applyFont="1" applyBorder="1" applyAlignment="1">
      <alignment/>
    </xf>
    <xf numFmtId="3" fontId="7" fillId="0" borderId="0" xfId="0" applyNumberFormat="1" applyFont="1" applyBorder="1" applyAlignment="1" applyProtection="1">
      <alignment horizontal="right" wrapText="1"/>
      <protection/>
    </xf>
    <xf numFmtId="0" fontId="0" fillId="0" borderId="10" xfId="0" applyFont="1" applyBorder="1" applyAlignment="1">
      <alignment horizontal="center" wrapText="1"/>
    </xf>
    <xf numFmtId="0" fontId="36" fillId="0" borderId="0" xfId="0" applyFont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 horizontal="center" vertical="top" wrapText="1"/>
      <protection/>
    </xf>
    <xf numFmtId="0" fontId="30" fillId="0" borderId="0" xfId="0" applyFont="1" applyAlignment="1">
      <alignment horizontal="center"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0" fontId="7" fillId="0" borderId="0" xfId="0" applyFont="1" applyFill="1" applyAlignment="1">
      <alignment/>
    </xf>
    <xf numFmtId="3" fontId="7" fillId="0" borderId="0" xfId="0" applyNumberFormat="1" applyFont="1" applyFill="1" applyAlignment="1">
      <alignment wrapText="1"/>
    </xf>
    <xf numFmtId="1" fontId="7" fillId="0" borderId="0" xfId="0" applyNumberFormat="1" applyFont="1" applyFill="1" applyAlignment="1">
      <alignment/>
    </xf>
    <xf numFmtId="0" fontId="7" fillId="0" borderId="0" xfId="54" applyFont="1" applyFill="1" applyAlignment="1">
      <alignment horizontal="left"/>
      <protection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Border="1" applyAlignment="1">
      <alignment/>
    </xf>
    <xf numFmtId="0" fontId="30" fillId="0" borderId="11" xfId="0" applyFont="1" applyFill="1" applyBorder="1" applyAlignment="1">
      <alignment horizontal="center" vertical="center"/>
    </xf>
    <xf numFmtId="0" fontId="30" fillId="0" borderId="12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12" xfId="53" applyFont="1" applyFill="1" applyBorder="1" applyAlignment="1">
      <alignment vertical="center" wrapText="1"/>
      <protection/>
    </xf>
    <xf numFmtId="0" fontId="8" fillId="0" borderId="13" xfId="50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>
      <alignment horizontal="right"/>
    </xf>
    <xf numFmtId="0" fontId="8" fillId="0" borderId="12" xfId="0" applyFont="1" applyFill="1" applyBorder="1" applyAlignment="1">
      <alignment wrapText="1"/>
    </xf>
    <xf numFmtId="3" fontId="8" fillId="0" borderId="12" xfId="0" applyNumberFormat="1" applyFont="1" applyFill="1" applyBorder="1" applyAlignment="1">
      <alignment/>
    </xf>
    <xf numFmtId="3" fontId="8" fillId="0" borderId="13" xfId="0" applyNumberFormat="1" applyFont="1" applyFill="1" applyBorder="1" applyAlignment="1">
      <alignment/>
    </xf>
    <xf numFmtId="3" fontId="7" fillId="0" borderId="0" xfId="0" applyNumberFormat="1" applyFont="1" applyFill="1" applyAlignment="1">
      <alignment/>
    </xf>
    <xf numFmtId="0" fontId="7" fillId="0" borderId="14" xfId="0" applyFont="1" applyFill="1" applyBorder="1" applyAlignment="1">
      <alignment horizontal="left"/>
    </xf>
    <xf numFmtId="0" fontId="7" fillId="0" borderId="15" xfId="0" applyFont="1" applyFill="1" applyBorder="1" applyAlignment="1">
      <alignment wrapText="1"/>
    </xf>
    <xf numFmtId="3" fontId="7" fillId="0" borderId="15" xfId="0" applyNumberFormat="1" applyFont="1" applyFill="1" applyBorder="1" applyAlignment="1">
      <alignment/>
    </xf>
    <xf numFmtId="3" fontId="8" fillId="0" borderId="16" xfId="0" applyNumberFormat="1" applyFont="1" applyFill="1" applyBorder="1" applyAlignment="1">
      <alignment/>
    </xf>
    <xf numFmtId="0" fontId="7" fillId="0" borderId="17" xfId="0" applyFont="1" applyFill="1" applyBorder="1" applyAlignment="1">
      <alignment horizontal="right"/>
    </xf>
    <xf numFmtId="0" fontId="7" fillId="0" borderId="10" xfId="0" applyFont="1" applyFill="1" applyBorder="1" applyAlignment="1">
      <alignment wrapText="1"/>
    </xf>
    <xf numFmtId="3" fontId="7" fillId="0" borderId="18" xfId="0" applyNumberFormat="1" applyFont="1" applyFill="1" applyBorder="1" applyAlignment="1">
      <alignment/>
    </xf>
    <xf numFmtId="3" fontId="7" fillId="0" borderId="19" xfId="0" applyNumberFormat="1" applyFont="1" applyFill="1" applyBorder="1" applyAlignment="1">
      <alignment/>
    </xf>
    <xf numFmtId="202" fontId="7" fillId="0" borderId="10" xfId="0" applyNumberFormat="1" applyFont="1" applyFill="1" applyBorder="1" applyAlignment="1">
      <alignment/>
    </xf>
    <xf numFmtId="0" fontId="7" fillId="0" borderId="17" xfId="0" applyFont="1" applyFill="1" applyBorder="1" applyAlignment="1">
      <alignment horizontal="left"/>
    </xf>
    <xf numFmtId="1" fontId="7" fillId="0" borderId="19" xfId="0" applyNumberFormat="1" applyFont="1" applyFill="1" applyBorder="1" applyAlignment="1">
      <alignment/>
    </xf>
    <xf numFmtId="1" fontId="7" fillId="0" borderId="10" xfId="0" applyNumberFormat="1" applyFont="1" applyFill="1" applyBorder="1" applyAlignment="1">
      <alignment/>
    </xf>
    <xf numFmtId="0" fontId="7" fillId="0" borderId="20" xfId="0" applyFont="1" applyFill="1" applyBorder="1" applyAlignment="1">
      <alignment horizontal="left"/>
    </xf>
    <xf numFmtId="0" fontId="7" fillId="0" borderId="21" xfId="0" applyFont="1" applyFill="1" applyBorder="1" applyAlignment="1">
      <alignment wrapText="1"/>
    </xf>
    <xf numFmtId="3" fontId="7" fillId="0" borderId="21" xfId="0" applyNumberFormat="1" applyFont="1" applyFill="1" applyBorder="1" applyAlignment="1">
      <alignment/>
    </xf>
    <xf numFmtId="3" fontId="7" fillId="0" borderId="22" xfId="0" applyNumberFormat="1" applyFont="1" applyFill="1" applyBorder="1" applyAlignment="1">
      <alignment/>
    </xf>
    <xf numFmtId="192" fontId="7" fillId="0" borderId="21" xfId="0" applyNumberFormat="1" applyFont="1" applyFill="1" applyBorder="1" applyAlignment="1">
      <alignment/>
    </xf>
    <xf numFmtId="0" fontId="7" fillId="0" borderId="21" xfId="0" applyFont="1" applyFill="1" applyBorder="1" applyAlignment="1">
      <alignment/>
    </xf>
    <xf numFmtId="3" fontId="8" fillId="0" borderId="23" xfId="0" applyNumberFormat="1" applyFont="1" applyFill="1" applyBorder="1" applyAlignment="1">
      <alignment/>
    </xf>
    <xf numFmtId="3" fontId="8" fillId="0" borderId="24" xfId="0" applyNumberFormat="1" applyFont="1" applyFill="1" applyBorder="1" applyAlignment="1">
      <alignment/>
    </xf>
    <xf numFmtId="3" fontId="7" fillId="0" borderId="25" xfId="0" applyNumberFormat="1" applyFont="1" applyFill="1" applyBorder="1" applyAlignment="1">
      <alignment/>
    </xf>
    <xf numFmtId="3" fontId="8" fillId="0" borderId="15" xfId="0" applyNumberFormat="1" applyFont="1" applyFill="1" applyBorder="1" applyAlignment="1">
      <alignment/>
    </xf>
    <xf numFmtId="1" fontId="7" fillId="0" borderId="15" xfId="0" applyNumberFormat="1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192" fontId="7" fillId="0" borderId="10" xfId="0" applyNumberFormat="1" applyFont="1" applyFill="1" applyBorder="1" applyAlignment="1">
      <alignment/>
    </xf>
    <xf numFmtId="3" fontId="7" fillId="0" borderId="26" xfId="0" applyNumberFormat="1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8" fillId="0" borderId="27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7" fillId="0" borderId="28" xfId="0" applyFont="1" applyFill="1" applyBorder="1" applyAlignment="1">
      <alignment horizontal="left"/>
    </xf>
    <xf numFmtId="0" fontId="7" fillId="0" borderId="29" xfId="0" applyFont="1" applyFill="1" applyBorder="1" applyAlignment="1">
      <alignment wrapText="1"/>
    </xf>
    <xf numFmtId="3" fontId="7" fillId="0" borderId="30" xfId="0" applyNumberFormat="1" applyFont="1" applyFill="1" applyBorder="1" applyAlignment="1">
      <alignment/>
    </xf>
    <xf numFmtId="0" fontId="7" fillId="0" borderId="14" xfId="0" applyFont="1" applyFill="1" applyBorder="1" applyAlignment="1">
      <alignment horizontal="right"/>
    </xf>
    <xf numFmtId="192" fontId="7" fillId="0" borderId="15" xfId="0" applyNumberFormat="1" applyFont="1" applyFill="1" applyBorder="1" applyAlignment="1">
      <alignment/>
    </xf>
    <xf numFmtId="0" fontId="8" fillId="0" borderId="17" xfId="0" applyFont="1" applyFill="1" applyBorder="1" applyAlignment="1">
      <alignment horizontal="left"/>
    </xf>
    <xf numFmtId="0" fontId="8" fillId="0" borderId="10" xfId="0" applyFont="1" applyFill="1" applyBorder="1" applyAlignment="1">
      <alignment wrapText="1"/>
    </xf>
    <xf numFmtId="3" fontId="7" fillId="0" borderId="31" xfId="0" applyNumberFormat="1" applyFont="1" applyFill="1" applyBorder="1" applyAlignment="1">
      <alignment/>
    </xf>
    <xf numFmtId="3" fontId="7" fillId="0" borderId="32" xfId="0" applyNumberFormat="1" applyFont="1" applyFill="1" applyBorder="1" applyAlignment="1">
      <alignment/>
    </xf>
    <xf numFmtId="0" fontId="7" fillId="0" borderId="11" xfId="0" applyFont="1" applyFill="1" applyBorder="1" applyAlignment="1">
      <alignment horizontal="right"/>
    </xf>
    <xf numFmtId="0" fontId="8" fillId="0" borderId="12" xfId="0" applyFont="1" applyFill="1" applyBorder="1" applyAlignment="1">
      <alignment horizontal="right" wrapText="1"/>
    </xf>
    <xf numFmtId="3" fontId="8" fillId="0" borderId="12" xfId="0" applyNumberFormat="1" applyFont="1" applyFill="1" applyBorder="1" applyAlignment="1">
      <alignment horizontal="center"/>
    </xf>
    <xf numFmtId="0" fontId="7" fillId="0" borderId="15" xfId="0" applyFont="1" applyFill="1" applyBorder="1" applyAlignment="1" applyProtection="1">
      <alignment/>
      <protection/>
    </xf>
    <xf numFmtId="0" fontId="7" fillId="0" borderId="15" xfId="0" applyFont="1" applyFill="1" applyBorder="1" applyAlignment="1" applyProtection="1">
      <alignment horizontal="left" wrapText="1"/>
      <protection/>
    </xf>
    <xf numFmtId="0" fontId="7" fillId="0" borderId="25" xfId="0" applyFont="1" applyFill="1" applyBorder="1" applyAlignment="1">
      <alignment/>
    </xf>
    <xf numFmtId="0" fontId="8" fillId="0" borderId="10" xfId="0" applyFont="1" applyFill="1" applyBorder="1" applyAlignment="1" applyProtection="1">
      <alignment/>
      <protection/>
    </xf>
    <xf numFmtId="0" fontId="8" fillId="0" borderId="10" xfId="0" applyFont="1" applyFill="1" applyBorder="1" applyAlignment="1" applyProtection="1">
      <alignment horizontal="left" wrapText="1"/>
      <protection/>
    </xf>
    <xf numFmtId="3" fontId="8" fillId="0" borderId="10" xfId="0" applyNumberFormat="1" applyFont="1" applyFill="1" applyBorder="1" applyAlignment="1" applyProtection="1">
      <alignment horizontal="center"/>
      <protection/>
    </xf>
    <xf numFmtId="3" fontId="8" fillId="0" borderId="10" xfId="0" applyNumberFormat="1" applyFont="1" applyFill="1" applyBorder="1" applyAlignment="1" applyProtection="1">
      <alignment/>
      <protection/>
    </xf>
    <xf numFmtId="3" fontId="8" fillId="0" borderId="18" xfId="0" applyNumberFormat="1" applyFont="1" applyFill="1" applyBorder="1" applyAlignment="1" applyProtection="1">
      <alignment/>
      <protection/>
    </xf>
    <xf numFmtId="3" fontId="7" fillId="0" borderId="10" xfId="0" applyNumberFormat="1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/>
      <protection/>
    </xf>
    <xf numFmtId="3" fontId="8" fillId="0" borderId="0" xfId="0" applyNumberFormat="1" applyFont="1" applyFill="1" applyBorder="1" applyAlignment="1" applyProtection="1">
      <alignment horizontal="center"/>
      <protection/>
    </xf>
    <xf numFmtId="3" fontId="8" fillId="0" borderId="0" xfId="0" applyNumberFormat="1" applyFont="1" applyFill="1" applyBorder="1" applyAlignment="1" applyProtection="1">
      <alignment/>
      <protection/>
    </xf>
    <xf numFmtId="202" fontId="8" fillId="0" borderId="0" xfId="0" applyNumberFormat="1" applyFont="1" applyFill="1" applyBorder="1" applyAlignment="1">
      <alignment/>
    </xf>
    <xf numFmtId="0" fontId="7" fillId="0" borderId="0" xfId="0" applyFont="1" applyFill="1" applyAlignment="1">
      <alignment wrapText="1"/>
    </xf>
    <xf numFmtId="0" fontId="7" fillId="0" borderId="0" xfId="54" applyFont="1" applyFill="1" applyAlignment="1">
      <alignment horizontal="right"/>
      <protection/>
    </xf>
    <xf numFmtId="0" fontId="8" fillId="0" borderId="0" xfId="0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wrapText="1"/>
    </xf>
    <xf numFmtId="49" fontId="8" fillId="0" borderId="11" xfId="0" applyNumberFormat="1" applyFont="1" applyFill="1" applyBorder="1" applyAlignment="1">
      <alignment/>
    </xf>
    <xf numFmtId="49" fontId="8" fillId="0" borderId="14" xfId="0" applyNumberFormat="1" applyFont="1" applyFill="1" applyBorder="1" applyAlignment="1">
      <alignment horizontal="right"/>
    </xf>
    <xf numFmtId="0" fontId="8" fillId="0" borderId="15" xfId="0" applyFont="1" applyFill="1" applyBorder="1" applyAlignment="1">
      <alignment wrapText="1"/>
    </xf>
    <xf numFmtId="3" fontId="8" fillId="0" borderId="25" xfId="0" applyNumberFormat="1" applyFont="1" applyFill="1" applyBorder="1" applyAlignment="1">
      <alignment/>
    </xf>
    <xf numFmtId="3" fontId="8" fillId="0" borderId="33" xfId="0" applyNumberFormat="1" applyFont="1" applyFill="1" applyBorder="1" applyAlignment="1">
      <alignment/>
    </xf>
    <xf numFmtId="3" fontId="8" fillId="0" borderId="34" xfId="0" applyNumberFormat="1" applyFont="1" applyFill="1" applyBorder="1" applyAlignment="1">
      <alignment/>
    </xf>
    <xf numFmtId="3" fontId="8" fillId="0" borderId="35" xfId="0" applyNumberFormat="1" applyFont="1" applyFill="1" applyBorder="1" applyAlignment="1">
      <alignment/>
    </xf>
    <xf numFmtId="49" fontId="8" fillId="0" borderId="17" xfId="0" applyNumberFormat="1" applyFont="1" applyFill="1" applyBorder="1" applyAlignment="1">
      <alignment horizontal="right"/>
    </xf>
    <xf numFmtId="3" fontId="8" fillId="0" borderId="18" xfId="0" applyNumberFormat="1" applyFont="1" applyFill="1" applyBorder="1" applyAlignment="1">
      <alignment/>
    </xf>
    <xf numFmtId="3" fontId="8" fillId="0" borderId="36" xfId="0" applyNumberFormat="1" applyFont="1" applyFill="1" applyBorder="1" applyAlignment="1">
      <alignment/>
    </xf>
    <xf numFmtId="49" fontId="7" fillId="0" borderId="17" xfId="0" applyNumberFormat="1" applyFont="1" applyFill="1" applyBorder="1" applyAlignment="1">
      <alignment horizontal="right"/>
    </xf>
    <xf numFmtId="0" fontId="7" fillId="0" borderId="19" xfId="0" applyFont="1" applyFill="1" applyBorder="1" applyAlignment="1">
      <alignment/>
    </xf>
    <xf numFmtId="0" fontId="8" fillId="0" borderId="10" xfId="0" applyFont="1" applyFill="1" applyBorder="1" applyAlignment="1">
      <alignment horizontal="left" wrapText="1"/>
    </xf>
    <xf numFmtId="0" fontId="7" fillId="0" borderId="26" xfId="0" applyFont="1" applyFill="1" applyBorder="1" applyAlignment="1">
      <alignment/>
    </xf>
    <xf numFmtId="49" fontId="7" fillId="0" borderId="17" xfId="0" applyNumberFormat="1" applyFont="1" applyFill="1" applyBorder="1" applyAlignment="1">
      <alignment horizontal="right" wrapText="1"/>
    </xf>
    <xf numFmtId="49" fontId="8" fillId="0" borderId="20" xfId="0" applyNumberFormat="1" applyFont="1" applyFill="1" applyBorder="1" applyAlignment="1">
      <alignment horizontal="right"/>
    </xf>
    <xf numFmtId="0" fontId="8" fillId="0" borderId="21" xfId="0" applyFont="1" applyFill="1" applyBorder="1" applyAlignment="1">
      <alignment wrapText="1"/>
    </xf>
    <xf numFmtId="3" fontId="8" fillId="0" borderId="21" xfId="0" applyNumberFormat="1" applyFont="1" applyFill="1" applyBorder="1" applyAlignment="1">
      <alignment/>
    </xf>
    <xf numFmtId="192" fontId="8" fillId="0" borderId="21" xfId="0" applyNumberFormat="1" applyFont="1" applyFill="1" applyBorder="1" applyAlignment="1">
      <alignment/>
    </xf>
    <xf numFmtId="1" fontId="8" fillId="0" borderId="21" xfId="0" applyNumberFormat="1" applyFont="1" applyFill="1" applyBorder="1" applyAlignment="1">
      <alignment/>
    </xf>
    <xf numFmtId="0" fontId="8" fillId="0" borderId="21" xfId="0" applyFont="1" applyFill="1" applyBorder="1" applyAlignment="1">
      <alignment/>
    </xf>
    <xf numFmtId="3" fontId="8" fillId="0" borderId="37" xfId="0" applyNumberFormat="1" applyFont="1" applyFill="1" applyBorder="1" applyAlignment="1">
      <alignment/>
    </xf>
    <xf numFmtId="49" fontId="8" fillId="0" borderId="11" xfId="0" applyNumberFormat="1" applyFont="1" applyFill="1" applyBorder="1" applyAlignment="1">
      <alignment horizontal="left"/>
    </xf>
    <xf numFmtId="3" fontId="8" fillId="0" borderId="38" xfId="0" applyNumberFormat="1" applyFont="1" applyFill="1" applyBorder="1" applyAlignment="1">
      <alignment/>
    </xf>
    <xf numFmtId="49" fontId="8" fillId="0" borderId="39" xfId="0" applyNumberFormat="1" applyFont="1" applyFill="1" applyBorder="1" applyAlignment="1">
      <alignment horizontal="right"/>
    </xf>
    <xf numFmtId="192" fontId="7" fillId="0" borderId="31" xfId="0" applyNumberFormat="1" applyFont="1" applyFill="1" applyBorder="1" applyAlignment="1">
      <alignment/>
    </xf>
    <xf numFmtId="0" fontId="7" fillId="0" borderId="31" xfId="0" applyFont="1" applyFill="1" applyBorder="1" applyAlignment="1">
      <alignment/>
    </xf>
    <xf numFmtId="49" fontId="8" fillId="0" borderId="21" xfId="0" applyNumberFormat="1" applyFont="1" applyFill="1" applyBorder="1" applyAlignment="1">
      <alignment horizontal="right"/>
    </xf>
    <xf numFmtId="0" fontId="8" fillId="0" borderId="15" xfId="0" applyFont="1" applyFill="1" applyBorder="1" applyAlignment="1">
      <alignment/>
    </xf>
    <xf numFmtId="49" fontId="7" fillId="0" borderId="14" xfId="0" applyNumberFormat="1" applyFont="1" applyFill="1" applyBorder="1" applyAlignment="1">
      <alignment horizontal="right"/>
    </xf>
    <xf numFmtId="0" fontId="7" fillId="0" borderId="15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horizontal="left" wrapText="1"/>
    </xf>
    <xf numFmtId="0" fontId="8" fillId="0" borderId="15" xfId="0" applyFont="1" applyFill="1" applyBorder="1" applyAlignment="1">
      <alignment horizontal="left" wrapText="1"/>
    </xf>
    <xf numFmtId="49" fontId="7" fillId="0" borderId="20" xfId="0" applyNumberFormat="1" applyFont="1" applyFill="1" applyBorder="1" applyAlignment="1">
      <alignment horizontal="right"/>
    </xf>
    <xf numFmtId="0" fontId="7" fillId="0" borderId="21" xfId="0" applyFont="1" applyFill="1" applyBorder="1" applyAlignment="1">
      <alignment horizontal="left" wrapText="1"/>
    </xf>
    <xf numFmtId="192" fontId="7" fillId="0" borderId="25" xfId="0" applyNumberFormat="1" applyFont="1" applyFill="1" applyBorder="1" applyAlignment="1">
      <alignment/>
    </xf>
    <xf numFmtId="0" fontId="7" fillId="0" borderId="19" xfId="0" applyFont="1" applyFill="1" applyBorder="1" applyAlignment="1">
      <alignment horizontal="left" wrapText="1"/>
    </xf>
    <xf numFmtId="0" fontId="7" fillId="0" borderId="32" xfId="0" applyFont="1" applyFill="1" applyBorder="1" applyAlignment="1">
      <alignment/>
    </xf>
    <xf numFmtId="0" fontId="7" fillId="0" borderId="40" xfId="0" applyFont="1" applyFill="1" applyBorder="1" applyAlignment="1">
      <alignment/>
    </xf>
    <xf numFmtId="1" fontId="8" fillId="0" borderId="10" xfId="0" applyNumberFormat="1" applyFont="1" applyFill="1" applyBorder="1" applyAlignment="1">
      <alignment/>
    </xf>
    <xf numFmtId="49" fontId="8" fillId="0" borderId="41" xfId="0" applyNumberFormat="1" applyFont="1" applyFill="1" applyBorder="1" applyAlignment="1">
      <alignment horizontal="left"/>
    </xf>
    <xf numFmtId="2" fontId="7" fillId="0" borderId="10" xfId="0" applyNumberFormat="1" applyFont="1" applyFill="1" applyBorder="1" applyAlignment="1">
      <alignment wrapText="1"/>
    </xf>
    <xf numFmtId="2" fontId="8" fillId="0" borderId="10" xfId="0" applyNumberFormat="1" applyFont="1" applyFill="1" applyBorder="1" applyAlignment="1">
      <alignment wrapText="1"/>
    </xf>
    <xf numFmtId="192" fontId="7" fillId="0" borderId="18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/>
    </xf>
    <xf numFmtId="192" fontId="8" fillId="0" borderId="10" xfId="0" applyNumberFormat="1" applyFont="1" applyFill="1" applyBorder="1" applyAlignment="1">
      <alignment/>
    </xf>
    <xf numFmtId="0" fontId="8" fillId="0" borderId="18" xfId="0" applyFont="1" applyFill="1" applyBorder="1" applyAlignment="1">
      <alignment/>
    </xf>
    <xf numFmtId="49" fontId="8" fillId="0" borderId="42" xfId="0" applyNumberFormat="1" applyFont="1" applyFill="1" applyBorder="1" applyAlignment="1">
      <alignment horizontal="right"/>
    </xf>
    <xf numFmtId="0" fontId="8" fillId="0" borderId="43" xfId="0" applyFont="1" applyFill="1" applyBorder="1" applyAlignment="1">
      <alignment wrapText="1"/>
    </xf>
    <xf numFmtId="3" fontId="8" fillId="0" borderId="44" xfId="0" applyNumberFormat="1" applyFont="1" applyFill="1" applyBorder="1" applyAlignment="1">
      <alignment/>
    </xf>
    <xf numFmtId="0" fontId="8" fillId="0" borderId="29" xfId="0" applyFont="1" applyFill="1" applyBorder="1" applyAlignment="1">
      <alignment wrapText="1"/>
    </xf>
    <xf numFmtId="3" fontId="8" fillId="0" borderId="29" xfId="0" applyNumberFormat="1" applyFont="1" applyFill="1" applyBorder="1" applyAlignment="1">
      <alignment/>
    </xf>
    <xf numFmtId="192" fontId="8" fillId="0" borderId="29" xfId="0" applyNumberFormat="1" applyFont="1" applyFill="1" applyBorder="1" applyAlignment="1">
      <alignment/>
    </xf>
    <xf numFmtId="1" fontId="8" fillId="0" borderId="29" xfId="0" applyNumberFormat="1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3" fontId="8" fillId="0" borderId="12" xfId="0" applyNumberFormat="1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3" fontId="8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49" fontId="7" fillId="0" borderId="0" xfId="0" applyNumberFormat="1" applyFont="1" applyFill="1" applyAlignment="1">
      <alignment horizontal="center" wrapText="1"/>
    </xf>
    <xf numFmtId="0" fontId="7" fillId="0" borderId="0" xfId="50" applyFont="1" applyFill="1" applyBorder="1" applyAlignment="1">
      <alignment horizontal="left" wrapText="1"/>
      <protection/>
    </xf>
    <xf numFmtId="3" fontId="38" fillId="0" borderId="0" xfId="0" applyNumberFormat="1" applyFont="1" applyFill="1" applyAlignment="1">
      <alignment/>
    </xf>
    <xf numFmtId="0" fontId="8" fillId="0" borderId="28" xfId="0" applyFont="1" applyFill="1" applyBorder="1" applyAlignment="1">
      <alignment horizontal="left"/>
    </xf>
    <xf numFmtId="0" fontId="7" fillId="0" borderId="29" xfId="0" applyFont="1" applyFill="1" applyBorder="1" applyAlignment="1">
      <alignment/>
    </xf>
    <xf numFmtId="0" fontId="8" fillId="0" borderId="24" xfId="0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 wrapText="1"/>
    </xf>
    <xf numFmtId="1" fontId="7" fillId="0" borderId="21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 wrapText="1"/>
    </xf>
    <xf numFmtId="3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45" xfId="52" applyFont="1" applyFill="1" applyBorder="1" applyAlignment="1">
      <alignment horizontal="center" vertical="center" wrapText="1"/>
      <protection/>
    </xf>
    <xf numFmtId="0" fontId="7" fillId="0" borderId="24" xfId="53" applyFont="1" applyFill="1" applyBorder="1" applyAlignment="1">
      <alignment vertical="center" wrapText="1"/>
      <protection/>
    </xf>
    <xf numFmtId="1" fontId="2" fillId="0" borderId="10" xfId="0" applyNumberFormat="1" applyFont="1" applyFill="1" applyBorder="1" applyAlignment="1">
      <alignment/>
    </xf>
    <xf numFmtId="0" fontId="7" fillId="0" borderId="22" xfId="0" applyFont="1" applyFill="1" applyBorder="1" applyAlignment="1">
      <alignment/>
    </xf>
    <xf numFmtId="3" fontId="2" fillId="0" borderId="21" xfId="0" applyNumberFormat="1" applyFont="1" applyFill="1" applyBorder="1" applyAlignment="1">
      <alignment/>
    </xf>
    <xf numFmtId="3" fontId="7" fillId="24" borderId="21" xfId="0" applyNumberFormat="1" applyFont="1" applyFill="1" applyBorder="1" applyAlignment="1">
      <alignment/>
    </xf>
    <xf numFmtId="3" fontId="7" fillId="24" borderId="46" xfId="0" applyNumberFormat="1" applyFont="1" applyFill="1" applyBorder="1" applyAlignment="1">
      <alignment/>
    </xf>
    <xf numFmtId="3" fontId="7" fillId="0" borderId="47" xfId="0" applyNumberFormat="1" applyFont="1" applyFill="1" applyBorder="1" applyAlignment="1">
      <alignment/>
    </xf>
    <xf numFmtId="0" fontId="31" fillId="0" borderId="0" xfId="0" applyFont="1" applyAlignment="1">
      <alignment wrapText="1"/>
    </xf>
    <xf numFmtId="1" fontId="7" fillId="0" borderId="31" xfId="0" applyNumberFormat="1" applyFont="1" applyFill="1" applyBorder="1" applyAlignment="1">
      <alignment/>
    </xf>
    <xf numFmtId="3" fontId="8" fillId="0" borderId="48" xfId="0" applyNumberFormat="1" applyFont="1" applyFill="1" applyBorder="1" applyAlignment="1">
      <alignment/>
    </xf>
    <xf numFmtId="1" fontId="8" fillId="0" borderId="46" xfId="0" applyNumberFormat="1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7" fillId="0" borderId="21" xfId="0" applyFont="1" applyBorder="1" applyAlignment="1">
      <alignment horizontal="left" wrapText="1"/>
    </xf>
    <xf numFmtId="0" fontId="7" fillId="24" borderId="21" xfId="0" applyFont="1" applyFill="1" applyBorder="1" applyAlignment="1">
      <alignment/>
    </xf>
    <xf numFmtId="0" fontId="7" fillId="24" borderId="10" xfId="0" applyFont="1" applyFill="1" applyBorder="1" applyAlignment="1">
      <alignment/>
    </xf>
    <xf numFmtId="3" fontId="7" fillId="24" borderId="10" xfId="0" applyNumberFormat="1" applyFont="1" applyFill="1" applyBorder="1" applyAlignment="1">
      <alignment/>
    </xf>
    <xf numFmtId="3" fontId="8" fillId="0" borderId="49" xfId="0" applyNumberFormat="1" applyFont="1" applyFill="1" applyBorder="1" applyAlignment="1">
      <alignment/>
    </xf>
    <xf numFmtId="0" fontId="7" fillId="0" borderId="10" xfId="0" applyFont="1" applyBorder="1" applyAlignment="1">
      <alignment horizontal="left" wrapText="1"/>
    </xf>
    <xf numFmtId="0" fontId="8" fillId="0" borderId="50" xfId="0" applyFont="1" applyFill="1" applyBorder="1" applyAlignment="1">
      <alignment/>
    </xf>
    <xf numFmtId="3" fontId="8" fillId="0" borderId="51" xfId="0" applyNumberFormat="1" applyFont="1" applyFill="1" applyBorder="1" applyAlignment="1">
      <alignment/>
    </xf>
    <xf numFmtId="0" fontId="7" fillId="0" borderId="46" xfId="0" applyFont="1" applyFill="1" applyBorder="1" applyAlignment="1">
      <alignment wrapText="1"/>
    </xf>
    <xf numFmtId="3" fontId="8" fillId="0" borderId="41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left" wrapText="1"/>
    </xf>
    <xf numFmtId="0" fontId="7" fillId="0" borderId="0" xfId="0" applyFont="1" applyAlignment="1">
      <alignment horizontal="right"/>
    </xf>
    <xf numFmtId="3" fontId="0" fillId="0" borderId="10" xfId="0" applyNumberFormat="1" applyFont="1" applyFill="1" applyBorder="1" applyAlignment="1">
      <alignment/>
    </xf>
    <xf numFmtId="49" fontId="7" fillId="0" borderId="0" xfId="0" applyNumberFormat="1" applyFont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 horizontal="left"/>
    </xf>
    <xf numFmtId="49" fontId="8" fillId="0" borderId="10" xfId="0" applyNumberFormat="1" applyFont="1" applyBorder="1" applyAlignment="1">
      <alignment horizontal="left"/>
    </xf>
    <xf numFmtId="0" fontId="8" fillId="0" borderId="10" xfId="0" applyFont="1" applyBorder="1" applyAlignment="1">
      <alignment wrapText="1"/>
    </xf>
    <xf numFmtId="3" fontId="8" fillId="6" borderId="10" xfId="0" applyNumberFormat="1" applyFont="1" applyFill="1" applyBorder="1" applyAlignment="1">
      <alignment horizontal="right"/>
    </xf>
    <xf numFmtId="0" fontId="7" fillId="0" borderId="21" xfId="0" applyFont="1" applyBorder="1" applyAlignment="1">
      <alignment horizontal="right"/>
    </xf>
    <xf numFmtId="49" fontId="7" fillId="0" borderId="10" xfId="0" applyNumberFormat="1" applyFont="1" applyBorder="1" applyAlignment="1">
      <alignment horizontal="left"/>
    </xf>
    <xf numFmtId="49" fontId="7" fillId="0" borderId="10" xfId="0" applyNumberFormat="1" applyFont="1" applyBorder="1" applyAlignment="1">
      <alignment horizontal="right"/>
    </xf>
    <xf numFmtId="3" fontId="7" fillId="0" borderId="10" xfId="0" applyNumberFormat="1" applyFont="1" applyFill="1" applyBorder="1" applyAlignment="1">
      <alignment horizontal="right"/>
    </xf>
    <xf numFmtId="0" fontId="8" fillId="0" borderId="21" xfId="0" applyFont="1" applyBorder="1" applyAlignment="1">
      <alignment horizontal="left"/>
    </xf>
    <xf numFmtId="49" fontId="7" fillId="0" borderId="10" xfId="0" applyNumberFormat="1" applyFont="1" applyFill="1" applyBorder="1" applyAlignment="1">
      <alignment horizontal="right"/>
    </xf>
    <xf numFmtId="0" fontId="7" fillId="0" borderId="10" xfId="0" applyFont="1" applyBorder="1" applyAlignment="1">
      <alignment wrapText="1"/>
    </xf>
    <xf numFmtId="0" fontId="7" fillId="0" borderId="21" xfId="0" applyFont="1" applyFill="1" applyBorder="1" applyAlignment="1">
      <alignment horizontal="right" wrapText="1"/>
    </xf>
    <xf numFmtId="49" fontId="7" fillId="0" borderId="10" xfId="0" applyNumberFormat="1" applyFont="1" applyFill="1" applyBorder="1" applyAlignment="1">
      <alignment horizontal="left"/>
    </xf>
    <xf numFmtId="3" fontId="8" fillId="6" borderId="10" xfId="0" applyNumberFormat="1" applyFont="1" applyFill="1" applyBorder="1" applyAlignment="1">
      <alignment/>
    </xf>
    <xf numFmtId="0" fontId="7" fillId="0" borderId="10" xfId="0" applyFont="1" applyBorder="1" applyAlignment="1">
      <alignment horizontal="right" wrapText="1"/>
    </xf>
    <xf numFmtId="3" fontId="39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right" wrapText="1"/>
    </xf>
    <xf numFmtId="3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justify"/>
    </xf>
    <xf numFmtId="0" fontId="7" fillId="0" borderId="15" xfId="0" applyFont="1" applyFill="1" applyBorder="1" applyAlignment="1">
      <alignment horizontal="right" wrapText="1"/>
    </xf>
    <xf numFmtId="0" fontId="7" fillId="0" borderId="21" xfId="0" applyFont="1" applyBorder="1" applyAlignment="1">
      <alignment horizontal="right" wrapText="1"/>
    </xf>
    <xf numFmtId="0" fontId="7" fillId="0" borderId="10" xfId="0" applyFont="1" applyBorder="1" applyAlignment="1">
      <alignment horizontal="justify" vertical="center"/>
    </xf>
    <xf numFmtId="0" fontId="8" fillId="0" borderId="10" xfId="0" applyFont="1" applyBorder="1" applyAlignment="1">
      <alignment horizontal="left" wrapText="1"/>
    </xf>
    <xf numFmtId="49" fontId="8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/>
    </xf>
    <xf numFmtId="3" fontId="40" fillId="0" borderId="10" xfId="0" applyNumberFormat="1" applyFont="1" applyFill="1" applyBorder="1" applyAlignment="1">
      <alignment/>
    </xf>
    <xf numFmtId="0" fontId="8" fillId="0" borderId="10" xfId="0" applyFont="1" applyBorder="1" applyAlignment="1">
      <alignment/>
    </xf>
    <xf numFmtId="3" fontId="8" fillId="0" borderId="10" xfId="0" applyNumberFormat="1" applyFont="1" applyBorder="1" applyAlignment="1">
      <alignment/>
    </xf>
    <xf numFmtId="0" fontId="33" fillId="0" borderId="10" xfId="0" applyFont="1" applyBorder="1" applyAlignment="1">
      <alignment wrapText="1"/>
    </xf>
    <xf numFmtId="49" fontId="7" fillId="0" borderId="10" xfId="0" applyNumberFormat="1" applyFont="1" applyFill="1" applyBorder="1" applyAlignment="1">
      <alignment/>
    </xf>
    <xf numFmtId="0" fontId="7" fillId="0" borderId="21" xfId="0" applyNumberFormat="1" applyFont="1" applyFill="1" applyBorder="1" applyAlignment="1">
      <alignment horizontal="left" wrapText="1"/>
    </xf>
    <xf numFmtId="0" fontId="8" fillId="0" borderId="10" xfId="0" applyFont="1" applyBorder="1" applyAlignment="1">
      <alignment horizontal="right"/>
    </xf>
    <xf numFmtId="0" fontId="41" fillId="0" borderId="10" xfId="0" applyFont="1" applyFill="1" applyBorder="1" applyAlignment="1">
      <alignment horizontal="right"/>
    </xf>
    <xf numFmtId="49" fontId="41" fillId="0" borderId="10" xfId="0" applyNumberFormat="1" applyFont="1" applyFill="1" applyBorder="1" applyAlignment="1">
      <alignment/>
    </xf>
    <xf numFmtId="2" fontId="41" fillId="0" borderId="10" xfId="0" applyNumberFormat="1" applyFont="1" applyFill="1" applyBorder="1" applyAlignment="1">
      <alignment wrapText="1"/>
    </xf>
    <xf numFmtId="0" fontId="7" fillId="0" borderId="10" xfId="0" applyFont="1" applyFill="1" applyBorder="1" applyAlignment="1">
      <alignment horizontal="left"/>
    </xf>
    <xf numFmtId="0" fontId="41" fillId="0" borderId="10" xfId="0" applyFont="1" applyBorder="1" applyAlignment="1">
      <alignment horizontal="right"/>
    </xf>
    <xf numFmtId="0" fontId="41" fillId="0" borderId="0" xfId="0" applyFont="1" applyAlignment="1">
      <alignment/>
    </xf>
    <xf numFmtId="0" fontId="7" fillId="0" borderId="10" xfId="0" applyFont="1" applyBorder="1" applyAlignment="1">
      <alignment horizontal="right"/>
    </xf>
    <xf numFmtId="0" fontId="41" fillId="0" borderId="0" xfId="0" applyFont="1" applyFill="1" applyAlignment="1">
      <alignment/>
    </xf>
    <xf numFmtId="0" fontId="8" fillId="0" borderId="10" xfId="0" applyFont="1" applyBorder="1" applyAlignment="1">
      <alignment horizontal="right" wrapText="1"/>
    </xf>
    <xf numFmtId="3" fontId="8" fillId="0" borderId="10" xfId="0" applyNumberFormat="1" applyFont="1" applyBorder="1" applyAlignment="1">
      <alignment horizontal="right"/>
    </xf>
    <xf numFmtId="0" fontId="7" fillId="0" borderId="10" xfId="0" applyFont="1" applyFill="1" applyBorder="1" applyAlignment="1">
      <alignment horizontal="right"/>
    </xf>
    <xf numFmtId="0" fontId="7" fillId="0" borderId="0" xfId="0" applyFont="1" applyFill="1" applyAlignment="1">
      <alignment horizontal="right"/>
    </xf>
    <xf numFmtId="3" fontId="39" fillId="0" borderId="10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0" fontId="8" fillId="0" borderId="10" xfId="0" applyFont="1" applyFill="1" applyBorder="1" applyAlignment="1">
      <alignment horizontal="right" wrapText="1"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49" fontId="7" fillId="0" borderId="0" xfId="0" applyNumberFormat="1" applyFont="1" applyBorder="1" applyAlignment="1">
      <alignment horizontal="right"/>
    </xf>
    <xf numFmtId="3" fontId="33" fillId="0" borderId="0" xfId="0" applyNumberFormat="1" applyFont="1" applyAlignment="1">
      <alignment/>
    </xf>
    <xf numFmtId="0" fontId="31" fillId="0" borderId="10" xfId="0" applyFont="1" applyBorder="1" applyAlignment="1">
      <alignment horizontal="center"/>
    </xf>
    <xf numFmtId="49" fontId="31" fillId="0" borderId="10" xfId="0" applyNumberFormat="1" applyFont="1" applyBorder="1" applyAlignment="1">
      <alignment horizontal="center" wrapText="1"/>
    </xf>
    <xf numFmtId="3" fontId="31" fillId="0" borderId="10" xfId="0" applyNumberFormat="1" applyFont="1" applyBorder="1" applyAlignment="1">
      <alignment horizontal="center"/>
    </xf>
    <xf numFmtId="49" fontId="31" fillId="0" borderId="10" xfId="0" applyNumberFormat="1" applyFont="1" applyBorder="1" applyAlignment="1">
      <alignment horizontal="center"/>
    </xf>
    <xf numFmtId="0" fontId="31" fillId="0" borderId="10" xfId="0" applyFont="1" applyFill="1" applyBorder="1" applyAlignment="1">
      <alignment horizontal="center" vertical="center" wrapText="1"/>
    </xf>
    <xf numFmtId="3" fontId="39" fillId="0" borderId="10" xfId="0" applyNumberFormat="1" applyFont="1" applyFill="1" applyBorder="1" applyAlignment="1">
      <alignment horizontal="right"/>
    </xf>
    <xf numFmtId="0" fontId="33" fillId="0" borderId="0" xfId="0" applyFont="1" applyAlignment="1">
      <alignment/>
    </xf>
    <xf numFmtId="0" fontId="42" fillId="0" borderId="0" xfId="0" applyFont="1" applyAlignment="1">
      <alignment/>
    </xf>
    <xf numFmtId="0" fontId="4" fillId="0" borderId="0" xfId="0" applyFont="1" applyFill="1" applyBorder="1" applyAlignment="1" applyProtection="1">
      <alignment/>
      <protection/>
    </xf>
    <xf numFmtId="0" fontId="43" fillId="0" borderId="0" xfId="0" applyFont="1" applyAlignment="1">
      <alignment wrapText="1"/>
    </xf>
    <xf numFmtId="0" fontId="33" fillId="0" borderId="0" xfId="0" applyFont="1" applyAlignment="1">
      <alignment/>
    </xf>
    <xf numFmtId="0" fontId="7" fillId="0" borderId="10" xfId="0" applyFont="1" applyBorder="1" applyAlignment="1">
      <alignment horizontal="left"/>
    </xf>
    <xf numFmtId="0" fontId="39" fillId="0" borderId="21" xfId="0" applyFont="1" applyFill="1" applyBorder="1" applyAlignment="1">
      <alignment horizontal="left" wrapText="1"/>
    </xf>
    <xf numFmtId="0" fontId="43" fillId="0" borderId="10" xfId="0" applyFont="1" applyBorder="1" applyAlignment="1">
      <alignment/>
    </xf>
    <xf numFmtId="49" fontId="43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wrapText="1"/>
    </xf>
    <xf numFmtId="49" fontId="43" fillId="0" borderId="10" xfId="0" applyNumberFormat="1" applyFont="1" applyBorder="1" applyAlignment="1">
      <alignment horizontal="left"/>
    </xf>
    <xf numFmtId="3" fontId="45" fillId="0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 wrapText="1"/>
    </xf>
    <xf numFmtId="3" fontId="0" fillId="0" borderId="10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/>
    </xf>
    <xf numFmtId="0" fontId="7" fillId="0" borderId="15" xfId="0" applyFont="1" applyFill="1" applyBorder="1" applyAlignment="1">
      <alignment horizontal="right" wrapText="1"/>
    </xf>
    <xf numFmtId="0" fontId="8" fillId="0" borderId="21" xfId="0" applyFont="1" applyBorder="1" applyAlignment="1">
      <alignment wrapText="1"/>
    </xf>
    <xf numFmtId="0" fontId="8" fillId="0" borderId="10" xfId="0" applyFont="1" applyFill="1" applyBorder="1" applyAlignment="1">
      <alignment wrapText="1"/>
    </xf>
    <xf numFmtId="3" fontId="39" fillId="0" borderId="10" xfId="0" applyNumberFormat="1" applyFont="1" applyFill="1" applyBorder="1" applyAlignment="1">
      <alignment/>
    </xf>
    <xf numFmtId="0" fontId="7" fillId="0" borderId="21" xfId="0" applyFont="1" applyBorder="1" applyAlignment="1">
      <alignment horizontal="right" wrapText="1"/>
    </xf>
    <xf numFmtId="0" fontId="7" fillId="0" borderId="10" xfId="0" applyFont="1" applyFill="1" applyBorder="1" applyAlignment="1">
      <alignment horizontal="right" wrapText="1"/>
    </xf>
    <xf numFmtId="3" fontId="47" fillId="0" borderId="10" xfId="0" applyNumberFormat="1" applyFont="1" applyFill="1" applyBorder="1" applyAlignment="1">
      <alignment/>
    </xf>
    <xf numFmtId="3" fontId="46" fillId="0" borderId="10" xfId="0" applyNumberFormat="1" applyFont="1" applyFill="1" applyBorder="1" applyAlignment="1">
      <alignment/>
    </xf>
    <xf numFmtId="0" fontId="3" fillId="0" borderId="33" xfId="0" applyFont="1" applyBorder="1" applyAlignment="1">
      <alignment/>
    </xf>
    <xf numFmtId="3" fontId="8" fillId="0" borderId="22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94" fontId="8" fillId="0" borderId="0" xfId="0" applyNumberFormat="1" applyFont="1" applyFill="1" applyAlignment="1">
      <alignment/>
    </xf>
    <xf numFmtId="192" fontId="7" fillId="0" borderId="0" xfId="0" applyNumberFormat="1" applyFont="1" applyFill="1" applyAlignment="1">
      <alignment/>
    </xf>
    <xf numFmtId="202" fontId="7" fillId="0" borderId="0" xfId="0" applyNumberFormat="1" applyFont="1" applyFill="1" applyAlignment="1">
      <alignment/>
    </xf>
    <xf numFmtId="2" fontId="7" fillId="0" borderId="0" xfId="0" applyNumberFormat="1" applyFont="1" applyFill="1" applyAlignment="1">
      <alignment/>
    </xf>
    <xf numFmtId="1" fontId="7" fillId="0" borderId="26" xfId="0" applyNumberFormat="1" applyFont="1" applyFill="1" applyBorder="1" applyAlignment="1">
      <alignment/>
    </xf>
    <xf numFmtId="194" fontId="7" fillId="0" borderId="0" xfId="0" applyNumberFormat="1" applyFont="1" applyFill="1" applyAlignment="1">
      <alignment/>
    </xf>
    <xf numFmtId="1" fontId="8" fillId="0" borderId="0" xfId="0" applyNumberFormat="1" applyFont="1" applyFill="1" applyAlignment="1">
      <alignment/>
    </xf>
    <xf numFmtId="2" fontId="8" fillId="0" borderId="0" xfId="0" applyNumberFormat="1" applyFont="1" applyFill="1" applyAlignment="1">
      <alignment/>
    </xf>
    <xf numFmtId="193" fontId="8" fillId="0" borderId="0" xfId="0" applyNumberFormat="1" applyFont="1" applyFill="1" applyAlignment="1">
      <alignment/>
    </xf>
    <xf numFmtId="0" fontId="8" fillId="0" borderId="17" xfId="0" applyFont="1" applyFill="1" applyBorder="1" applyAlignment="1">
      <alignment horizontal="right"/>
    </xf>
    <xf numFmtId="1" fontId="9" fillId="0" borderId="10" xfId="0" applyNumberFormat="1" applyFont="1" applyFill="1" applyBorder="1" applyAlignment="1">
      <alignment/>
    </xf>
    <xf numFmtId="1" fontId="8" fillId="0" borderId="19" xfId="0" applyNumberFormat="1" applyFont="1" applyFill="1" applyBorder="1" applyAlignment="1">
      <alignment/>
    </xf>
    <xf numFmtId="3" fontId="8" fillId="0" borderId="24" xfId="0" applyNumberFormat="1" applyFont="1" applyFill="1" applyBorder="1" applyAlignment="1">
      <alignment horizontal="center"/>
    </xf>
    <xf numFmtId="3" fontId="7" fillId="0" borderId="15" xfId="0" applyNumberFormat="1" applyFont="1" applyFill="1" applyBorder="1" applyAlignment="1" applyProtection="1">
      <alignment/>
      <protection/>
    </xf>
    <xf numFmtId="3" fontId="7" fillId="0" borderId="10" xfId="0" applyNumberFormat="1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3" fontId="33" fillId="0" borderId="0" xfId="0" applyNumberFormat="1" applyFont="1" applyFill="1" applyBorder="1" applyAlignment="1" applyProtection="1">
      <alignment horizontal="left" wrapText="1"/>
      <protection/>
    </xf>
    <xf numFmtId="194" fontId="7" fillId="0" borderId="0" xfId="0" applyNumberFormat="1" applyFont="1" applyFill="1" applyAlignment="1">
      <alignment/>
    </xf>
    <xf numFmtId="49" fontId="8" fillId="0" borderId="19" xfId="0" applyNumberFormat="1" applyFont="1" applyFill="1" applyBorder="1" applyAlignment="1">
      <alignment horizontal="right"/>
    </xf>
    <xf numFmtId="0" fontId="7" fillId="0" borderId="21" xfId="51" applyFont="1" applyFill="1" applyBorder="1" applyAlignment="1">
      <alignment horizontal="left" wrapText="1"/>
      <protection/>
    </xf>
    <xf numFmtId="0" fontId="7" fillId="0" borderId="15" xfId="0" applyFont="1" applyFill="1" applyBorder="1" applyAlignment="1">
      <alignment horizontal="center"/>
    </xf>
    <xf numFmtId="3" fontId="7" fillId="0" borderId="23" xfId="0" applyNumberFormat="1" applyFont="1" applyFill="1" applyBorder="1" applyAlignment="1">
      <alignment/>
    </xf>
    <xf numFmtId="3" fontId="7" fillId="0" borderId="36" xfId="0" applyNumberFormat="1" applyFont="1" applyFill="1" applyBorder="1" applyAlignment="1">
      <alignment/>
    </xf>
    <xf numFmtId="49" fontId="7" fillId="0" borderId="14" xfId="0" applyNumberFormat="1" applyFont="1" applyFill="1" applyBorder="1" applyAlignment="1">
      <alignment horizontal="left"/>
    </xf>
    <xf numFmtId="0" fontId="7" fillId="0" borderId="22" xfId="51" applyFont="1" applyFill="1" applyBorder="1" applyAlignment="1">
      <alignment horizontal="left" wrapText="1"/>
      <protection/>
    </xf>
    <xf numFmtId="0" fontId="7" fillId="24" borderId="21" xfId="51" applyFont="1" applyFill="1" applyBorder="1" applyAlignment="1">
      <alignment horizontal="left" wrapText="1"/>
      <protection/>
    </xf>
    <xf numFmtId="0" fontId="7" fillId="0" borderId="10" xfId="51" applyFont="1" applyFill="1" applyBorder="1" applyAlignment="1">
      <alignment horizontal="left" vertical="center" wrapText="1"/>
      <protection/>
    </xf>
    <xf numFmtId="0" fontId="7" fillId="0" borderId="10" xfId="51" applyFont="1" applyFill="1" applyBorder="1" applyAlignment="1">
      <alignment wrapText="1"/>
      <protection/>
    </xf>
    <xf numFmtId="0" fontId="7" fillId="0" borderId="10" xfId="51" applyFont="1" applyFill="1" applyBorder="1" applyAlignment="1">
      <alignment horizontal="left" wrapText="1"/>
      <protection/>
    </xf>
    <xf numFmtId="0" fontId="7" fillId="0" borderId="0" xfId="0" applyFont="1" applyFill="1" applyBorder="1" applyAlignment="1">
      <alignment horizontal="left" wrapText="1"/>
    </xf>
    <xf numFmtId="49" fontId="7" fillId="0" borderId="27" xfId="0" applyNumberFormat="1" applyFont="1" applyFill="1" applyBorder="1" applyAlignment="1">
      <alignment horizontal="right"/>
    </xf>
    <xf numFmtId="3" fontId="8" fillId="0" borderId="52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left"/>
    </xf>
    <xf numFmtId="1" fontId="8" fillId="0" borderId="18" xfId="0" applyNumberFormat="1" applyFont="1" applyFill="1" applyBorder="1" applyAlignment="1">
      <alignment/>
    </xf>
    <xf numFmtId="0" fontId="7" fillId="0" borderId="0" xfId="0" applyFont="1" applyAlignment="1">
      <alignment horizontal="left" wrapText="1"/>
    </xf>
    <xf numFmtId="49" fontId="8" fillId="0" borderId="42" xfId="0" applyNumberFormat="1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33" fillId="0" borderId="0" xfId="0" applyFont="1" applyFill="1" applyBorder="1" applyAlignment="1">
      <alignment horizontal="right" wrapText="1"/>
    </xf>
    <xf numFmtId="3" fontId="38" fillId="0" borderId="0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3" fontId="7" fillId="0" borderId="29" xfId="0" applyNumberFormat="1" applyFont="1" applyFill="1" applyBorder="1" applyAlignment="1">
      <alignment/>
    </xf>
    <xf numFmtId="3" fontId="2" fillId="0" borderId="48" xfId="0" applyNumberFormat="1" applyFont="1" applyFill="1" applyBorder="1" applyAlignment="1">
      <alignment/>
    </xf>
    <xf numFmtId="3" fontId="2" fillId="0" borderId="29" xfId="0" applyNumberFormat="1" applyFont="1" applyFill="1" applyBorder="1" applyAlignment="1">
      <alignment/>
    </xf>
    <xf numFmtId="3" fontId="2" fillId="0" borderId="19" xfId="0" applyNumberFormat="1" applyFont="1" applyFill="1" applyBorder="1" applyAlignment="1">
      <alignment/>
    </xf>
    <xf numFmtId="3" fontId="2" fillId="0" borderId="30" xfId="0" applyNumberFormat="1" applyFont="1" applyFill="1" applyBorder="1" applyAlignment="1">
      <alignment/>
    </xf>
    <xf numFmtId="1" fontId="7" fillId="0" borderId="0" xfId="0" applyNumberFormat="1" applyFont="1" applyFill="1" applyAlignment="1">
      <alignment/>
    </xf>
    <xf numFmtId="49" fontId="8" fillId="0" borderId="10" xfId="0" applyNumberFormat="1" applyFont="1" applyFill="1" applyBorder="1" applyAlignment="1">
      <alignment horizontal="left"/>
    </xf>
    <xf numFmtId="0" fontId="43" fillId="0" borderId="10" xfId="0" applyFont="1" applyFill="1" applyBorder="1" applyAlignment="1">
      <alignment/>
    </xf>
    <xf numFmtId="3" fontId="33" fillId="0" borderId="15" xfId="0" applyNumberFormat="1" applyFont="1" applyFill="1" applyBorder="1" applyAlignment="1">
      <alignment/>
    </xf>
    <xf numFmtId="0" fontId="2" fillId="0" borderId="10" xfId="0" applyFont="1" applyBorder="1" applyAlignment="1">
      <alignment horizontal="right"/>
    </xf>
    <xf numFmtId="3" fontId="33" fillId="0" borderId="10" xfId="0" applyNumberFormat="1" applyFont="1" applyFill="1" applyBorder="1" applyAlignment="1">
      <alignment/>
    </xf>
    <xf numFmtId="3" fontId="33" fillId="0" borderId="10" xfId="0" applyNumberFormat="1" applyFont="1" applyFill="1" applyBorder="1" applyAlignment="1">
      <alignment wrapText="1"/>
    </xf>
    <xf numFmtId="0" fontId="33" fillId="0" borderId="0" xfId="0" applyFont="1" applyAlignment="1">
      <alignment/>
    </xf>
    <xf numFmtId="3" fontId="8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3" fontId="33" fillId="0" borderId="10" xfId="0" applyNumberFormat="1" applyFont="1" applyFill="1" applyBorder="1" applyAlignment="1">
      <alignment/>
    </xf>
    <xf numFmtId="0" fontId="33" fillId="0" borderId="10" xfId="0" applyFont="1" applyFill="1" applyBorder="1" applyAlignment="1">
      <alignment wrapText="1"/>
    </xf>
    <xf numFmtId="0" fontId="7" fillId="0" borderId="21" xfId="51" applyFont="1" applyFill="1" applyBorder="1" applyAlignment="1">
      <alignment horizontal="right" wrapText="1"/>
      <protection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left" wrapText="1"/>
    </xf>
    <xf numFmtId="3" fontId="50" fillId="0" borderId="10" xfId="0" applyNumberFormat="1" applyFont="1" applyFill="1" applyBorder="1" applyAlignment="1">
      <alignment/>
    </xf>
    <xf numFmtId="3" fontId="47" fillId="0" borderId="10" xfId="0" applyNumberFormat="1" applyFont="1" applyFill="1" applyBorder="1" applyAlignment="1">
      <alignment/>
    </xf>
    <xf numFmtId="0" fontId="33" fillId="0" borderId="0" xfId="0" applyFont="1" applyFill="1" applyBorder="1" applyAlignment="1">
      <alignment wrapText="1"/>
    </xf>
    <xf numFmtId="0" fontId="33" fillId="0" borderId="0" xfId="0" applyFont="1" applyBorder="1" applyAlignment="1">
      <alignment wrapText="1"/>
    </xf>
    <xf numFmtId="3" fontId="49" fillId="0" borderId="0" xfId="0" applyNumberFormat="1" applyFont="1" applyBorder="1" applyAlignment="1">
      <alignment/>
    </xf>
    <xf numFmtId="3" fontId="33" fillId="0" borderId="0" xfId="0" applyNumberFormat="1" applyFont="1" applyAlignment="1">
      <alignment/>
    </xf>
    <xf numFmtId="0" fontId="41" fillId="0" borderId="0" xfId="0" applyFont="1" applyAlignment="1">
      <alignment wrapText="1"/>
    </xf>
    <xf numFmtId="3" fontId="33" fillId="0" borderId="0" xfId="0" applyNumberFormat="1" applyFont="1" applyFill="1" applyBorder="1" applyAlignment="1">
      <alignment/>
    </xf>
    <xf numFmtId="3" fontId="7" fillId="0" borderId="0" xfId="0" applyNumberFormat="1" applyFont="1" applyBorder="1" applyAlignment="1">
      <alignment/>
    </xf>
    <xf numFmtId="3" fontId="7" fillId="24" borderId="18" xfId="0" applyNumberFormat="1" applyFont="1" applyFill="1" applyBorder="1" applyAlignment="1">
      <alignment/>
    </xf>
    <xf numFmtId="3" fontId="8" fillId="0" borderId="32" xfId="0" applyNumberFormat="1" applyFont="1" applyFill="1" applyBorder="1" applyAlignment="1">
      <alignment/>
    </xf>
    <xf numFmtId="3" fontId="8" fillId="0" borderId="31" xfId="0" applyNumberFormat="1" applyFont="1" applyFill="1" applyBorder="1" applyAlignment="1">
      <alignment/>
    </xf>
    <xf numFmtId="0" fontId="7" fillId="0" borderId="31" xfId="51" applyFont="1" applyFill="1" applyBorder="1" applyAlignment="1">
      <alignment horizontal="left" wrapText="1"/>
      <protection/>
    </xf>
    <xf numFmtId="192" fontId="7" fillId="0" borderId="32" xfId="0" applyNumberFormat="1" applyFont="1" applyFill="1" applyBorder="1" applyAlignment="1">
      <alignment/>
    </xf>
    <xf numFmtId="0" fontId="7" fillId="0" borderId="10" xfId="52" applyFont="1" applyFill="1" applyBorder="1" applyAlignment="1">
      <alignment horizontal="left" vertical="center" wrapText="1"/>
      <protection/>
    </xf>
    <xf numFmtId="0" fontId="47" fillId="0" borderId="10" xfId="0" applyFont="1" applyFill="1" applyBorder="1" applyAlignment="1">
      <alignment horizontal="justify" wrapText="1"/>
    </xf>
    <xf numFmtId="0" fontId="7" fillId="0" borderId="0" xfId="0" applyFont="1" applyAlignment="1">
      <alignment wrapText="1"/>
    </xf>
    <xf numFmtId="0" fontId="51" fillId="0" borderId="12" xfId="0" applyFont="1" applyBorder="1" applyAlignment="1">
      <alignment horizontal="center" wrapText="1"/>
    </xf>
    <xf numFmtId="3" fontId="7" fillId="0" borderId="10" xfId="0" applyNumberFormat="1" applyFont="1" applyFill="1" applyBorder="1" applyAlignment="1">
      <alignment horizontal="right"/>
    </xf>
    <xf numFmtId="0" fontId="52" fillId="0" borderId="10" xfId="0" applyFont="1" applyBorder="1" applyAlignment="1">
      <alignment wrapText="1"/>
    </xf>
    <xf numFmtId="0" fontId="7" fillId="0" borderId="0" xfId="0" applyFont="1" applyAlignment="1">
      <alignment horizontal="justify"/>
    </xf>
    <xf numFmtId="3" fontId="45" fillId="0" borderId="10" xfId="0" applyNumberFormat="1" applyFont="1" applyFill="1" applyBorder="1" applyAlignment="1">
      <alignment/>
    </xf>
    <xf numFmtId="3" fontId="53" fillId="0" borderId="10" xfId="0" applyNumberFormat="1" applyFont="1" applyFill="1" applyBorder="1" applyAlignment="1">
      <alignment/>
    </xf>
    <xf numFmtId="0" fontId="7" fillId="0" borderId="18" xfId="51" applyFont="1" applyFill="1" applyBorder="1" applyAlignment="1">
      <alignment horizontal="left" wrapText="1"/>
      <protection/>
    </xf>
    <xf numFmtId="0" fontId="0" fillId="0" borderId="10" xfId="0" applyFont="1" applyFill="1" applyBorder="1" applyAlignment="1">
      <alignment horizontal="center" textRotation="90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28" fillId="0" borderId="0" xfId="0" applyFont="1" applyAlignment="1">
      <alignment/>
    </xf>
    <xf numFmtId="3" fontId="8" fillId="0" borderId="0" xfId="0" applyNumberFormat="1" applyFont="1" applyFill="1" applyBorder="1" applyAlignment="1" applyProtection="1">
      <alignment horizontal="right"/>
      <protection/>
    </xf>
    <xf numFmtId="0" fontId="35" fillId="0" borderId="0" xfId="0" applyFont="1" applyFill="1" applyAlignment="1">
      <alignment horizontal="center"/>
    </xf>
    <xf numFmtId="0" fontId="35" fillId="0" borderId="53" xfId="0" applyFont="1" applyFill="1" applyBorder="1" applyAlignment="1">
      <alignment horizontal="center" wrapText="1"/>
    </xf>
    <xf numFmtId="0" fontId="36" fillId="0" borderId="0" xfId="0" applyFont="1" applyAlignment="1">
      <alignment horizontal="center" wrapText="1"/>
    </xf>
    <xf numFmtId="0" fontId="29" fillId="0" borderId="0" xfId="0" applyFont="1" applyAlignment="1" applyProtection="1">
      <alignment horizontal="center" wrapText="1"/>
      <protection/>
    </xf>
    <xf numFmtId="0" fontId="29" fillId="0" borderId="33" xfId="0" applyFont="1" applyBorder="1" applyAlignment="1">
      <alignment horizontal="center"/>
    </xf>
    <xf numFmtId="0" fontId="31" fillId="0" borderId="18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8" fillId="0" borderId="18" xfId="0" applyFont="1" applyBorder="1" applyAlignment="1">
      <alignment horizontal="right"/>
    </xf>
    <xf numFmtId="0" fontId="8" fillId="0" borderId="26" xfId="0" applyFont="1" applyBorder="1" applyAlignment="1">
      <alignment horizontal="right"/>
    </xf>
    <xf numFmtId="0" fontId="8" fillId="0" borderId="19" xfId="0" applyFont="1" applyBorder="1" applyAlignment="1">
      <alignment horizontal="right"/>
    </xf>
    <xf numFmtId="0" fontId="3" fillId="0" borderId="33" xfId="0" applyFont="1" applyBorder="1" applyAlignment="1">
      <alignment horizontal="left"/>
    </xf>
    <xf numFmtId="0" fontId="3" fillId="0" borderId="51" xfId="0" applyFont="1" applyBorder="1" applyAlignment="1">
      <alignment horizontal="left"/>
    </xf>
  </cellXfs>
  <cellStyles count="54">
    <cellStyle name="Normal" xfId="0"/>
    <cellStyle name="1. izcēlums" xfId="15"/>
    <cellStyle name="2. izcēlums" xfId="16"/>
    <cellStyle name="20% no 1. izcēluma" xfId="17"/>
    <cellStyle name="20% no 2. izcēluma" xfId="18"/>
    <cellStyle name="20% no 3. izcēluma" xfId="19"/>
    <cellStyle name="20% no 4. izcēluma" xfId="20"/>
    <cellStyle name="20% no 5. izcēluma" xfId="21"/>
    <cellStyle name="20% no 6. izcēluma" xfId="22"/>
    <cellStyle name="3. izcēlums " xfId="23"/>
    <cellStyle name="4. izcēlums" xfId="24"/>
    <cellStyle name="40% no 1. izcēluma" xfId="25"/>
    <cellStyle name="40% no 2. izcēluma" xfId="26"/>
    <cellStyle name="40% no 3. izcēluma" xfId="27"/>
    <cellStyle name="40% no 4. izcēluma" xfId="28"/>
    <cellStyle name="40% no 5. izcēluma" xfId="29"/>
    <cellStyle name="40% no 6. izcēluma" xfId="30"/>
    <cellStyle name="5. izcēlums" xfId="31"/>
    <cellStyle name="6. izcēlums" xfId="32"/>
    <cellStyle name="60% no 1. izcēluma" xfId="33"/>
    <cellStyle name="60% no 2. izcēluma" xfId="34"/>
    <cellStyle name="60% no 3. izcēluma" xfId="35"/>
    <cellStyle name="60% no 4. izcēluma" xfId="36"/>
    <cellStyle name="60% no 5. izcēluma" xfId="37"/>
    <cellStyle name="60% no 6. izcēluma" xfId="38"/>
    <cellStyle name="Aprēķināšana" xfId="39"/>
    <cellStyle name="Brīdinājuma teksts" xfId="40"/>
    <cellStyle name="Hyperlink" xfId="41"/>
    <cellStyle name="Ievade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rmal_2009.g plāns apst" xfId="50"/>
    <cellStyle name="Normal_PROJEKTI_2016_PLĀNS_Aija un Inese" xfId="51"/>
    <cellStyle name="Normal_Sheet1" xfId="52"/>
    <cellStyle name="Normal_Sheet1_Pielikumi oktobra korekcijam" xfId="53"/>
    <cellStyle name="Normal_Specbudz.kopsavilkums 2006.g un korekc." xfId="54"/>
    <cellStyle name="Nosaukums" xfId="55"/>
    <cellStyle name="Paskaidrojošs teksts" xfId="56"/>
    <cellStyle name="Pārbaudes šūna" xfId="57"/>
    <cellStyle name="Piezīme" xfId="58"/>
    <cellStyle name="Percent" xfId="59"/>
    <cellStyle name="Saistīta šūna" xfId="60"/>
    <cellStyle name="Slikts" xfId="61"/>
    <cellStyle name="Currency" xfId="62"/>
    <cellStyle name="Currency [0]" xfId="63"/>
    <cellStyle name="Virsraksts 1" xfId="64"/>
    <cellStyle name="Virsraksts 2" xfId="65"/>
    <cellStyle name="Virsraksts 3" xfId="66"/>
    <cellStyle name="Virsraksts 4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ment\lemumi\Users\EDzedzele\AppData\Local\Microsoft\Windows\INetCache\Content.Outlook\VP4LD36I\Laubere_budzets%202016_pa%20strukturvieniba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110"/>
      <sheetName val="01.721"/>
      <sheetName val="04.510004"/>
      <sheetName val="06.400"/>
      <sheetName val="06.6003"/>
      <sheetName val="06.60001"/>
      <sheetName val="06.60010"/>
      <sheetName val="08.210"/>
      <sheetName val="08.29011"/>
      <sheetName val="08.230"/>
      <sheetName val="10.500"/>
      <sheetName val="10.70002"/>
      <sheetName val="10.70004"/>
      <sheetName val="10.70001"/>
    </sheetNames>
    <sheetDataSet>
      <sheetData sheetId="12">
        <row r="165">
          <cell r="G165">
            <v>264966.6045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5"/>
  <sheetViews>
    <sheetView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J54" sqref="J54"/>
    </sheetView>
  </sheetViews>
  <sheetFormatPr defaultColWidth="9.140625" defaultRowHeight="12.75"/>
  <cols>
    <col min="1" max="1" width="12.28125" style="66" customWidth="1"/>
    <col min="2" max="2" width="41.00390625" style="67" customWidth="1"/>
    <col min="3" max="3" width="11.7109375" style="66" customWidth="1"/>
    <col min="4" max="4" width="11.28125" style="68" customWidth="1"/>
    <col min="5" max="5" width="11.00390625" style="66" customWidth="1"/>
    <col min="6" max="6" width="10.00390625" style="66" customWidth="1"/>
    <col min="7" max="7" width="10.8515625" style="66" customWidth="1"/>
    <col min="8" max="8" width="10.421875" style="66" customWidth="1"/>
    <col min="9" max="9" width="9.7109375" style="66" customWidth="1"/>
    <col min="10" max="10" width="11.421875" style="66" customWidth="1"/>
    <col min="11" max="11" width="8.8515625" style="66" customWidth="1"/>
    <col min="12" max="12" width="9.7109375" style="66" customWidth="1"/>
    <col min="13" max="13" width="10.421875" style="66" customWidth="1"/>
    <col min="14" max="14" width="9.140625" style="66" bestFit="1" customWidth="1"/>
    <col min="15" max="15" width="13.00390625" style="70" customWidth="1"/>
    <col min="16" max="16" width="10.57421875" style="66" customWidth="1"/>
    <col min="17" max="17" width="9.8515625" style="66" customWidth="1"/>
    <col min="18" max="18" width="10.57421875" style="66" customWidth="1"/>
    <col min="19" max="16384" width="9.140625" style="66" customWidth="1"/>
  </cols>
  <sheetData>
    <row r="1" spans="5:6" ht="15">
      <c r="E1" s="69" t="s">
        <v>47</v>
      </c>
      <c r="F1" s="69"/>
    </row>
    <row r="2" spans="1:6" ht="15">
      <c r="A2" s="71"/>
      <c r="E2" s="71" t="s">
        <v>48</v>
      </c>
      <c r="F2" s="71"/>
    </row>
    <row r="3" spans="1:6" ht="15">
      <c r="A3" s="71"/>
      <c r="E3" s="71" t="s">
        <v>685</v>
      </c>
      <c r="F3" s="71"/>
    </row>
    <row r="5" spans="1:4" ht="20.25">
      <c r="A5" s="417" t="s">
        <v>486</v>
      </c>
      <c r="B5" s="417"/>
      <c r="C5" s="417"/>
      <c r="D5" s="417"/>
    </row>
    <row r="6" spans="1:13" ht="15.75" thickBot="1">
      <c r="A6" s="71"/>
      <c r="B6" s="72"/>
      <c r="C6" s="71"/>
      <c r="M6" s="73"/>
    </row>
    <row r="7" spans="1:17" ht="104.25" customHeight="1" thickBot="1">
      <c r="A7" s="74" t="s">
        <v>45</v>
      </c>
      <c r="B7" s="75" t="s">
        <v>190</v>
      </c>
      <c r="C7" s="215" t="s">
        <v>487</v>
      </c>
      <c r="D7" s="216" t="s">
        <v>488</v>
      </c>
      <c r="E7" s="76" t="s">
        <v>489</v>
      </c>
      <c r="F7" s="76" t="s">
        <v>490</v>
      </c>
      <c r="G7" s="77" t="s">
        <v>491</v>
      </c>
      <c r="H7" s="77" t="s">
        <v>492</v>
      </c>
      <c r="I7" s="77" t="s">
        <v>493</v>
      </c>
      <c r="J7" s="77" t="s">
        <v>494</v>
      </c>
      <c r="K7" s="77" t="s">
        <v>495</v>
      </c>
      <c r="L7" s="77" t="s">
        <v>496</v>
      </c>
      <c r="M7" s="77" t="s">
        <v>497</v>
      </c>
      <c r="N7" s="217" t="s">
        <v>498</v>
      </c>
      <c r="O7" s="78" t="s">
        <v>499</v>
      </c>
      <c r="P7" s="139"/>
      <c r="Q7" s="139"/>
    </row>
    <row r="8" spans="1:19" ht="15.75" thickBot="1">
      <c r="A8" s="79"/>
      <c r="B8" s="80" t="s">
        <v>61</v>
      </c>
      <c r="C8" s="81">
        <f aca="true" t="shared" si="0" ref="C8:N8">C9+C12+C17</f>
        <v>22409659</v>
      </c>
      <c r="D8" s="81">
        <f t="shared" si="0"/>
        <v>0</v>
      </c>
      <c r="E8" s="81">
        <f t="shared" si="0"/>
        <v>0</v>
      </c>
      <c r="F8" s="103">
        <f t="shared" si="0"/>
        <v>0</v>
      </c>
      <c r="G8" s="81">
        <f t="shared" si="0"/>
        <v>96800</v>
      </c>
      <c r="H8" s="81">
        <f t="shared" si="0"/>
        <v>46060</v>
      </c>
      <c r="I8" s="81">
        <f t="shared" si="0"/>
        <v>42900</v>
      </c>
      <c r="J8" s="81">
        <f t="shared" si="0"/>
        <v>105691</v>
      </c>
      <c r="K8" s="81">
        <f t="shared" si="0"/>
        <v>44000</v>
      </c>
      <c r="L8" s="81">
        <f t="shared" si="0"/>
        <v>38800</v>
      </c>
      <c r="M8" s="81">
        <f t="shared" si="0"/>
        <v>51240</v>
      </c>
      <c r="N8" s="81">
        <f t="shared" si="0"/>
        <v>52728</v>
      </c>
      <c r="O8" s="82">
        <f>SUM(C8:N8)</f>
        <v>22887878</v>
      </c>
      <c r="P8" s="333"/>
      <c r="Q8" s="333"/>
      <c r="R8" s="328"/>
      <c r="S8" s="329"/>
    </row>
    <row r="9" spans="1:19" ht="15">
      <c r="A9" s="84" t="s">
        <v>62</v>
      </c>
      <c r="B9" s="85" t="s">
        <v>191</v>
      </c>
      <c r="C9" s="86">
        <f aca="true" t="shared" si="1" ref="C9:N9">SUM(C10:C11)</f>
        <v>20732775</v>
      </c>
      <c r="D9" s="86">
        <f t="shared" si="1"/>
        <v>0</v>
      </c>
      <c r="E9" s="86">
        <f t="shared" si="1"/>
        <v>0</v>
      </c>
      <c r="F9" s="104">
        <f t="shared" si="1"/>
        <v>0</v>
      </c>
      <c r="G9" s="86">
        <f t="shared" si="1"/>
        <v>0</v>
      </c>
      <c r="H9" s="86">
        <f t="shared" si="1"/>
        <v>0</v>
      </c>
      <c r="I9" s="86">
        <f t="shared" si="1"/>
        <v>0</v>
      </c>
      <c r="J9" s="86">
        <f t="shared" si="1"/>
        <v>0</v>
      </c>
      <c r="K9" s="86">
        <f t="shared" si="1"/>
        <v>0</v>
      </c>
      <c r="L9" s="86">
        <f t="shared" si="1"/>
        <v>0</v>
      </c>
      <c r="M9" s="86">
        <f t="shared" si="1"/>
        <v>0</v>
      </c>
      <c r="N9" s="86">
        <f t="shared" si="1"/>
        <v>0</v>
      </c>
      <c r="O9" s="87">
        <f aca="true" t="shared" si="2" ref="O9:O46">SUM(C9:N9)</f>
        <v>20732775</v>
      </c>
      <c r="P9" s="330"/>
      <c r="Q9" s="330"/>
      <c r="S9" s="329"/>
    </row>
    <row r="10" spans="1:17" ht="45">
      <c r="A10" s="88" t="s">
        <v>63</v>
      </c>
      <c r="B10" s="89" t="s">
        <v>192</v>
      </c>
      <c r="C10" s="24">
        <v>145467</v>
      </c>
      <c r="D10" s="24"/>
      <c r="E10" s="24"/>
      <c r="F10" s="90"/>
      <c r="G10" s="24"/>
      <c r="H10" s="24"/>
      <c r="I10" s="24"/>
      <c r="J10" s="24"/>
      <c r="K10" s="24"/>
      <c r="L10" s="24"/>
      <c r="M10" s="24"/>
      <c r="N10" s="24"/>
      <c r="O10" s="87">
        <f t="shared" si="2"/>
        <v>145467</v>
      </c>
      <c r="P10" s="330"/>
      <c r="Q10" s="330"/>
    </row>
    <row r="11" spans="1:17" ht="30">
      <c r="A11" s="88" t="s">
        <v>64</v>
      </c>
      <c r="B11" s="89" t="s">
        <v>193</v>
      </c>
      <c r="C11" s="24">
        <v>20587308</v>
      </c>
      <c r="D11" s="24"/>
      <c r="E11" s="92"/>
      <c r="F11" s="90"/>
      <c r="G11" s="24"/>
      <c r="H11" s="24"/>
      <c r="I11" s="24"/>
      <c r="J11" s="24"/>
      <c r="K11" s="24"/>
      <c r="L11" s="24"/>
      <c r="M11" s="24"/>
      <c r="N11" s="24"/>
      <c r="O11" s="87">
        <f t="shared" si="2"/>
        <v>20587308</v>
      </c>
      <c r="P11" s="330"/>
      <c r="Q11" s="330"/>
    </row>
    <row r="12" spans="1:19" ht="15">
      <c r="A12" s="93" t="s">
        <v>194</v>
      </c>
      <c r="B12" s="89" t="s">
        <v>195</v>
      </c>
      <c r="C12" s="24">
        <f>C13</f>
        <v>1608884</v>
      </c>
      <c r="D12" s="24"/>
      <c r="E12" s="24"/>
      <c r="F12" s="90"/>
      <c r="G12" s="24">
        <f>G13</f>
        <v>96800</v>
      </c>
      <c r="H12" s="91">
        <f aca="true" t="shared" si="3" ref="H12:N12">H13</f>
        <v>46060</v>
      </c>
      <c r="I12" s="91">
        <f t="shared" si="3"/>
        <v>42900</v>
      </c>
      <c r="J12" s="91">
        <f t="shared" si="3"/>
        <v>105691</v>
      </c>
      <c r="K12" s="91">
        <f t="shared" si="3"/>
        <v>44000</v>
      </c>
      <c r="L12" s="91">
        <f t="shared" si="3"/>
        <v>38800</v>
      </c>
      <c r="M12" s="91">
        <f t="shared" si="3"/>
        <v>51240</v>
      </c>
      <c r="N12" s="91">
        <f t="shared" si="3"/>
        <v>52728</v>
      </c>
      <c r="O12" s="87">
        <f t="shared" si="2"/>
        <v>2087103</v>
      </c>
      <c r="P12" s="330"/>
      <c r="Q12" s="330"/>
      <c r="R12" s="328"/>
      <c r="S12" s="329"/>
    </row>
    <row r="13" spans="1:18" ht="15">
      <c r="A13" s="93" t="s">
        <v>65</v>
      </c>
      <c r="B13" s="89" t="s">
        <v>66</v>
      </c>
      <c r="C13" s="24">
        <f>SUM(C14:C16)</f>
        <v>1608884</v>
      </c>
      <c r="D13" s="24"/>
      <c r="E13" s="24"/>
      <c r="F13" s="90"/>
      <c r="G13" s="24">
        <f>SUM(G14:G16)</f>
        <v>96800</v>
      </c>
      <c r="H13" s="24">
        <f aca="true" t="shared" si="4" ref="H13:N13">SUM(H14:H16)</f>
        <v>46060</v>
      </c>
      <c r="I13" s="24">
        <f t="shared" si="4"/>
        <v>42900</v>
      </c>
      <c r="J13" s="24">
        <f t="shared" si="4"/>
        <v>105691</v>
      </c>
      <c r="K13" s="24">
        <f t="shared" si="4"/>
        <v>44000</v>
      </c>
      <c r="L13" s="24">
        <f t="shared" si="4"/>
        <v>38800</v>
      </c>
      <c r="M13" s="24">
        <f t="shared" si="4"/>
        <v>51240</v>
      </c>
      <c r="N13" s="24">
        <f t="shared" si="4"/>
        <v>52728</v>
      </c>
      <c r="O13" s="87">
        <f t="shared" si="2"/>
        <v>2087103</v>
      </c>
      <c r="P13" s="330"/>
      <c r="Q13" s="330"/>
      <c r="R13" s="328"/>
    </row>
    <row r="14" spans="1:19" ht="15">
      <c r="A14" s="88" t="s">
        <v>49</v>
      </c>
      <c r="B14" s="89" t="s">
        <v>67</v>
      </c>
      <c r="C14" s="94">
        <v>772416</v>
      </c>
      <c r="D14" s="94"/>
      <c r="E14" s="94"/>
      <c r="F14" s="331"/>
      <c r="G14" s="218">
        <v>85500</v>
      </c>
      <c r="H14" s="94">
        <v>42210</v>
      </c>
      <c r="I14" s="94">
        <v>38000</v>
      </c>
      <c r="J14" s="94">
        <v>95359</v>
      </c>
      <c r="K14" s="94">
        <v>42000</v>
      </c>
      <c r="L14" s="95">
        <v>36254</v>
      </c>
      <c r="M14" s="95">
        <v>48671</v>
      </c>
      <c r="N14" s="94">
        <v>50228</v>
      </c>
      <c r="O14" s="87">
        <f t="shared" si="2"/>
        <v>1210638</v>
      </c>
      <c r="P14" s="332"/>
      <c r="Q14" s="332"/>
      <c r="R14" s="328"/>
      <c r="S14" s="333"/>
    </row>
    <row r="15" spans="1:19" ht="15">
      <c r="A15" s="88" t="s">
        <v>50</v>
      </c>
      <c r="B15" s="89" t="s">
        <v>68</v>
      </c>
      <c r="C15" s="94">
        <v>494270</v>
      </c>
      <c r="D15" s="94"/>
      <c r="E15" s="94"/>
      <c r="F15" s="331"/>
      <c r="G15" s="218">
        <v>4950</v>
      </c>
      <c r="H15" s="94">
        <v>2299</v>
      </c>
      <c r="I15" s="94">
        <v>2200</v>
      </c>
      <c r="J15" s="94">
        <v>5891</v>
      </c>
      <c r="K15" s="94">
        <v>2000</v>
      </c>
      <c r="L15" s="94">
        <v>2546</v>
      </c>
      <c r="M15" s="94">
        <v>1093</v>
      </c>
      <c r="N15" s="94">
        <v>2500</v>
      </c>
      <c r="O15" s="87">
        <f t="shared" si="2"/>
        <v>517749</v>
      </c>
      <c r="P15" s="332"/>
      <c r="Q15" s="332"/>
      <c r="R15" s="328"/>
      <c r="S15" s="333"/>
    </row>
    <row r="16" spans="1:19" ht="15">
      <c r="A16" s="88" t="s">
        <v>277</v>
      </c>
      <c r="B16" s="89" t="s">
        <v>278</v>
      </c>
      <c r="C16" s="94">
        <v>342198</v>
      </c>
      <c r="D16" s="94"/>
      <c r="E16" s="94"/>
      <c r="F16" s="331"/>
      <c r="G16" s="218">
        <v>6350</v>
      </c>
      <c r="H16" s="94">
        <v>1551</v>
      </c>
      <c r="I16" s="94">
        <v>2700</v>
      </c>
      <c r="J16" s="94">
        <v>4441</v>
      </c>
      <c r="K16" s="94"/>
      <c r="L16" s="94"/>
      <c r="M16" s="94">
        <v>1476</v>
      </c>
      <c r="N16" s="94"/>
      <c r="O16" s="87">
        <f t="shared" si="2"/>
        <v>358716</v>
      </c>
      <c r="P16" s="332"/>
      <c r="Q16" s="332"/>
      <c r="R16" s="328"/>
      <c r="S16" s="333"/>
    </row>
    <row r="17" spans="1:19" ht="15.75" thickBot="1">
      <c r="A17" s="96" t="s">
        <v>51</v>
      </c>
      <c r="B17" s="97" t="s">
        <v>69</v>
      </c>
      <c r="C17" s="98">
        <v>68000</v>
      </c>
      <c r="D17" s="98"/>
      <c r="E17" s="98"/>
      <c r="F17" s="99"/>
      <c r="G17" s="100"/>
      <c r="H17" s="100"/>
      <c r="I17" s="100"/>
      <c r="J17" s="101"/>
      <c r="K17" s="101"/>
      <c r="L17" s="101"/>
      <c r="M17" s="101"/>
      <c r="N17" s="219"/>
      <c r="O17" s="102">
        <f t="shared" si="2"/>
        <v>68000</v>
      </c>
      <c r="P17" s="332"/>
      <c r="Q17" s="332"/>
      <c r="R17" s="328"/>
      <c r="S17" s="329"/>
    </row>
    <row r="18" spans="1:19" ht="15.75" thickBot="1">
      <c r="A18" s="79"/>
      <c r="B18" s="80" t="s">
        <v>70</v>
      </c>
      <c r="C18" s="81">
        <f aca="true" t="shared" si="5" ref="C18:N18">SUM(C19:C25)</f>
        <v>92244</v>
      </c>
      <c r="D18" s="81">
        <f t="shared" si="5"/>
        <v>2016</v>
      </c>
      <c r="E18" s="81">
        <f t="shared" si="5"/>
        <v>0</v>
      </c>
      <c r="F18" s="103">
        <f t="shared" si="5"/>
        <v>0</v>
      </c>
      <c r="G18" s="81">
        <f t="shared" si="5"/>
        <v>4378</v>
      </c>
      <c r="H18" s="103">
        <f t="shared" si="5"/>
        <v>160</v>
      </c>
      <c r="I18" s="103">
        <f t="shared" si="5"/>
        <v>500</v>
      </c>
      <c r="J18" s="103">
        <f t="shared" si="5"/>
        <v>20739</v>
      </c>
      <c r="K18" s="103">
        <f t="shared" si="5"/>
        <v>7110</v>
      </c>
      <c r="L18" s="103">
        <f t="shared" si="5"/>
        <v>440</v>
      </c>
      <c r="M18" s="103">
        <f t="shared" si="5"/>
        <v>1550</v>
      </c>
      <c r="N18" s="103">
        <f t="shared" si="5"/>
        <v>130</v>
      </c>
      <c r="O18" s="82">
        <f t="shared" si="2"/>
        <v>129267</v>
      </c>
      <c r="P18" s="333"/>
      <c r="Q18" s="333"/>
      <c r="R18" s="328"/>
      <c r="S18" s="329"/>
    </row>
    <row r="19" spans="1:17" ht="30">
      <c r="A19" s="84" t="s">
        <v>196</v>
      </c>
      <c r="B19" s="85" t="s">
        <v>197</v>
      </c>
      <c r="C19" s="86"/>
      <c r="D19" s="86"/>
      <c r="E19" s="86"/>
      <c r="F19" s="104"/>
      <c r="G19" s="106">
        <v>28</v>
      </c>
      <c r="H19" s="106"/>
      <c r="I19" s="107"/>
      <c r="J19" s="107">
        <v>300</v>
      </c>
      <c r="K19" s="107"/>
      <c r="L19" s="107"/>
      <c r="M19" s="107"/>
      <c r="N19" s="128"/>
      <c r="O19" s="87">
        <f t="shared" si="2"/>
        <v>328</v>
      </c>
      <c r="P19" s="330"/>
      <c r="Q19" s="327"/>
    </row>
    <row r="20" spans="1:17" ht="30">
      <c r="A20" s="93" t="s">
        <v>71</v>
      </c>
      <c r="B20" s="89" t="s">
        <v>72</v>
      </c>
      <c r="C20" s="24">
        <v>11600</v>
      </c>
      <c r="D20" s="24"/>
      <c r="E20" s="24"/>
      <c r="F20" s="90"/>
      <c r="G20" s="109"/>
      <c r="H20" s="95">
        <v>60</v>
      </c>
      <c r="I20" s="108">
        <v>250</v>
      </c>
      <c r="J20" s="108">
        <v>2000</v>
      </c>
      <c r="K20" s="108">
        <v>40</v>
      </c>
      <c r="L20" s="108">
        <v>240</v>
      </c>
      <c r="M20" s="108">
        <v>500</v>
      </c>
      <c r="N20" s="111">
        <v>100</v>
      </c>
      <c r="O20" s="87">
        <f t="shared" si="2"/>
        <v>14790</v>
      </c>
      <c r="P20" s="330"/>
      <c r="Q20" s="327"/>
    </row>
    <row r="21" spans="1:17" ht="15">
      <c r="A21" s="93" t="s">
        <v>53</v>
      </c>
      <c r="B21" s="89" t="s">
        <v>52</v>
      </c>
      <c r="C21" s="24">
        <v>14600</v>
      </c>
      <c r="D21" s="24">
        <v>2016</v>
      </c>
      <c r="E21" s="24"/>
      <c r="F21" s="90"/>
      <c r="G21" s="95">
        <v>2250</v>
      </c>
      <c r="H21" s="109"/>
      <c r="I21" s="108">
        <v>250</v>
      </c>
      <c r="J21" s="108">
        <v>2718</v>
      </c>
      <c r="K21" s="108"/>
      <c r="L21" s="108">
        <v>200</v>
      </c>
      <c r="M21" s="108">
        <v>50</v>
      </c>
      <c r="N21" s="111">
        <v>30</v>
      </c>
      <c r="O21" s="87">
        <f t="shared" si="2"/>
        <v>22114</v>
      </c>
      <c r="P21" s="330"/>
      <c r="Q21" s="327"/>
    </row>
    <row r="22" spans="1:17" ht="15">
      <c r="A22" s="93" t="s">
        <v>500</v>
      </c>
      <c r="B22" s="89" t="s">
        <v>501</v>
      </c>
      <c r="C22" s="24"/>
      <c r="D22" s="24"/>
      <c r="E22" s="24"/>
      <c r="F22" s="90"/>
      <c r="G22" s="95"/>
      <c r="H22" s="109"/>
      <c r="I22" s="108"/>
      <c r="J22" s="108"/>
      <c r="K22" s="108"/>
      <c r="L22" s="108"/>
      <c r="M22" s="108"/>
      <c r="N22" s="111"/>
      <c r="O22" s="87">
        <f t="shared" si="2"/>
        <v>0</v>
      </c>
      <c r="P22" s="330"/>
      <c r="Q22" s="327"/>
    </row>
    <row r="23" spans="1:17" ht="15">
      <c r="A23" s="93" t="s">
        <v>198</v>
      </c>
      <c r="B23" s="89" t="s">
        <v>199</v>
      </c>
      <c r="C23" s="24">
        <v>30000</v>
      </c>
      <c r="D23" s="24"/>
      <c r="E23" s="24"/>
      <c r="F23" s="90"/>
      <c r="G23" s="95">
        <v>200</v>
      </c>
      <c r="H23" s="95">
        <v>100</v>
      </c>
      <c r="I23" s="108"/>
      <c r="J23" s="108">
        <v>2300</v>
      </c>
      <c r="K23" s="108"/>
      <c r="L23" s="108"/>
      <c r="M23" s="108"/>
      <c r="N23" s="111"/>
      <c r="O23" s="87">
        <f t="shared" si="2"/>
        <v>32600</v>
      </c>
      <c r="P23" s="330"/>
      <c r="Q23" s="327"/>
    </row>
    <row r="24" spans="1:17" ht="15">
      <c r="A24" s="93" t="s">
        <v>200</v>
      </c>
      <c r="B24" s="89" t="s">
        <v>73</v>
      </c>
      <c r="C24" s="24">
        <f>32800+3244</f>
        <v>36044</v>
      </c>
      <c r="D24" s="24"/>
      <c r="E24" s="24"/>
      <c r="F24" s="90"/>
      <c r="G24" s="95"/>
      <c r="H24" s="109"/>
      <c r="I24" s="108"/>
      <c r="J24" s="108"/>
      <c r="K24" s="108">
        <v>7070</v>
      </c>
      <c r="L24" s="108"/>
      <c r="M24" s="108">
        <v>1000</v>
      </c>
      <c r="N24" s="111"/>
      <c r="O24" s="87">
        <f t="shared" si="2"/>
        <v>44114</v>
      </c>
      <c r="P24" s="330"/>
      <c r="Q24" s="327"/>
    </row>
    <row r="25" spans="1:17" ht="30" customHeight="1">
      <c r="A25" s="93" t="s">
        <v>179</v>
      </c>
      <c r="B25" s="89" t="s">
        <v>406</v>
      </c>
      <c r="C25" s="24"/>
      <c r="D25" s="24"/>
      <c r="E25" s="24"/>
      <c r="F25" s="90"/>
      <c r="G25" s="24">
        <v>1900</v>
      </c>
      <c r="H25" s="90"/>
      <c r="I25" s="90"/>
      <c r="J25" s="108">
        <v>13421</v>
      </c>
      <c r="K25" s="90"/>
      <c r="L25" s="108"/>
      <c r="M25" s="90"/>
      <c r="N25" s="90"/>
      <c r="O25" s="87">
        <f t="shared" si="2"/>
        <v>15321</v>
      </c>
      <c r="P25" s="330"/>
      <c r="Q25" s="327"/>
    </row>
    <row r="26" spans="1:17" ht="58.5" thickBot="1">
      <c r="A26" s="112" t="s">
        <v>417</v>
      </c>
      <c r="B26" s="202" t="s">
        <v>416</v>
      </c>
      <c r="C26" s="121"/>
      <c r="D26" s="121"/>
      <c r="E26" s="121"/>
      <c r="F26" s="122"/>
      <c r="G26" s="121"/>
      <c r="H26" s="122"/>
      <c r="I26" s="122"/>
      <c r="J26" s="169"/>
      <c r="K26" s="122"/>
      <c r="L26" s="169"/>
      <c r="M26" s="122"/>
      <c r="N26" s="122"/>
      <c r="O26" s="87">
        <f t="shared" si="2"/>
        <v>0</v>
      </c>
      <c r="P26" s="334"/>
      <c r="Q26" s="333"/>
    </row>
    <row r="27" spans="1:19" ht="15.75" thickBot="1">
      <c r="A27" s="113" t="s">
        <v>74</v>
      </c>
      <c r="B27" s="80" t="s">
        <v>75</v>
      </c>
      <c r="C27" s="81">
        <f aca="true" t="shared" si="6" ref="C27:N27">SUM(C28:C28)</f>
        <v>7773763</v>
      </c>
      <c r="D27" s="81">
        <f t="shared" si="6"/>
        <v>0</v>
      </c>
      <c r="E27" s="81">
        <f t="shared" si="6"/>
        <v>0</v>
      </c>
      <c r="F27" s="81">
        <f t="shared" si="6"/>
        <v>0</v>
      </c>
      <c r="G27" s="81">
        <f t="shared" si="6"/>
        <v>0</v>
      </c>
      <c r="H27" s="81">
        <f t="shared" si="6"/>
        <v>0</v>
      </c>
      <c r="I27" s="81">
        <f t="shared" si="6"/>
        <v>0</v>
      </c>
      <c r="J27" s="81">
        <f t="shared" si="6"/>
        <v>58931</v>
      </c>
      <c r="K27" s="81">
        <f t="shared" si="6"/>
        <v>0</v>
      </c>
      <c r="L27" s="81">
        <f t="shared" si="6"/>
        <v>5592</v>
      </c>
      <c r="M27" s="81">
        <f t="shared" si="6"/>
        <v>0</v>
      </c>
      <c r="N27" s="81">
        <f t="shared" si="6"/>
        <v>0</v>
      </c>
      <c r="O27" s="82">
        <f>SUM(C27:N27)</f>
        <v>7838286</v>
      </c>
      <c r="P27" s="333"/>
      <c r="Q27" s="333"/>
      <c r="R27" s="328"/>
      <c r="S27" s="329"/>
    </row>
    <row r="28" spans="1:17" ht="15.75" customHeight="1" thickBot="1">
      <c r="A28" s="114" t="s">
        <v>273</v>
      </c>
      <c r="B28" s="115" t="s">
        <v>279</v>
      </c>
      <c r="C28" s="86">
        <f>6964642+809121</f>
        <v>7773763</v>
      </c>
      <c r="D28" s="86"/>
      <c r="E28" s="86"/>
      <c r="F28" s="104"/>
      <c r="G28" s="86"/>
      <c r="H28" s="104"/>
      <c r="I28" s="104"/>
      <c r="J28" s="104">
        <v>58931</v>
      </c>
      <c r="K28" s="104"/>
      <c r="L28" s="104">
        <v>5592</v>
      </c>
      <c r="M28" s="104"/>
      <c r="N28" s="104"/>
      <c r="O28" s="87">
        <f t="shared" si="2"/>
        <v>7838286</v>
      </c>
      <c r="P28" s="330"/>
      <c r="Q28" s="335"/>
    </row>
    <row r="29" spans="1:19" ht="15.75" thickBot="1">
      <c r="A29" s="113" t="s">
        <v>76</v>
      </c>
      <c r="B29" s="80" t="s">
        <v>77</v>
      </c>
      <c r="C29" s="103">
        <f aca="true" t="shared" si="7" ref="C29:N29">SUM(C30:C32)</f>
        <v>532790</v>
      </c>
      <c r="D29" s="103">
        <f t="shared" si="7"/>
        <v>0</v>
      </c>
      <c r="E29" s="103">
        <f t="shared" si="7"/>
        <v>0</v>
      </c>
      <c r="F29" s="103">
        <f t="shared" si="7"/>
        <v>0</v>
      </c>
      <c r="G29" s="81">
        <f t="shared" si="7"/>
        <v>0</v>
      </c>
      <c r="H29" s="81">
        <f t="shared" si="7"/>
        <v>64030</v>
      </c>
      <c r="I29" s="81">
        <f t="shared" si="7"/>
        <v>0</v>
      </c>
      <c r="J29" s="81">
        <f t="shared" si="7"/>
        <v>55645</v>
      </c>
      <c r="K29" s="81">
        <f t="shared" si="7"/>
        <v>0</v>
      </c>
      <c r="L29" s="81">
        <f t="shared" si="7"/>
        <v>0</v>
      </c>
      <c r="M29" s="81">
        <f t="shared" si="7"/>
        <v>0</v>
      </c>
      <c r="N29" s="81">
        <f t="shared" si="7"/>
        <v>0</v>
      </c>
      <c r="O29" s="82">
        <f t="shared" si="2"/>
        <v>652465</v>
      </c>
      <c r="P29" s="333"/>
      <c r="Q29" s="333"/>
      <c r="R29" s="328"/>
      <c r="S29" s="329"/>
    </row>
    <row r="30" spans="1:17" ht="30">
      <c r="A30" s="84" t="s">
        <v>201</v>
      </c>
      <c r="B30" s="85" t="s">
        <v>280</v>
      </c>
      <c r="C30" s="104">
        <v>2790</v>
      </c>
      <c r="D30" s="104"/>
      <c r="E30" s="104"/>
      <c r="F30" s="104"/>
      <c r="G30" s="86"/>
      <c r="H30" s="104"/>
      <c r="I30" s="104"/>
      <c r="J30" s="104"/>
      <c r="K30" s="104"/>
      <c r="L30" s="104"/>
      <c r="M30" s="104"/>
      <c r="N30" s="104"/>
      <c r="O30" s="87">
        <f t="shared" si="2"/>
        <v>2790</v>
      </c>
      <c r="P30" s="334"/>
      <c r="Q30" s="327"/>
    </row>
    <row r="31" spans="1:17" ht="30">
      <c r="A31" s="93" t="s">
        <v>78</v>
      </c>
      <c r="B31" s="89" t="s">
        <v>281</v>
      </c>
      <c r="C31" s="90">
        <v>530000</v>
      </c>
      <c r="D31" s="90"/>
      <c r="E31" s="90"/>
      <c r="F31" s="90"/>
      <c r="G31" s="24"/>
      <c r="H31" s="90">
        <v>64030</v>
      </c>
      <c r="I31" s="90"/>
      <c r="J31" s="90">
        <v>55645</v>
      </c>
      <c r="K31" s="90"/>
      <c r="L31" s="24"/>
      <c r="M31" s="90"/>
      <c r="N31" s="90"/>
      <c r="O31" s="87">
        <f t="shared" si="2"/>
        <v>649675</v>
      </c>
      <c r="P31" s="330"/>
      <c r="Q31" s="327"/>
    </row>
    <row r="32" spans="1:17" ht="30.75" thickBot="1">
      <c r="A32" s="96" t="s">
        <v>79</v>
      </c>
      <c r="B32" s="89" t="s">
        <v>282</v>
      </c>
      <c r="C32" s="98"/>
      <c r="D32" s="98"/>
      <c r="E32" s="98"/>
      <c r="F32" s="99"/>
      <c r="G32" s="220"/>
      <c r="H32" s="98"/>
      <c r="I32" s="221"/>
      <c r="J32" s="98"/>
      <c r="K32" s="99"/>
      <c r="L32" s="116"/>
      <c r="M32" s="222"/>
      <c r="N32" s="223"/>
      <c r="O32" s="102">
        <f t="shared" si="2"/>
        <v>0</v>
      </c>
      <c r="P32" s="334"/>
      <c r="Q32" s="327"/>
    </row>
    <row r="33" spans="1:19" ht="15.75" thickBot="1">
      <c r="A33" s="113" t="s">
        <v>80</v>
      </c>
      <c r="B33" s="80" t="s">
        <v>81</v>
      </c>
      <c r="C33" s="103">
        <f aca="true" t="shared" si="8" ref="C33:N33">SUM(C34,C35,C40)</f>
        <v>391500</v>
      </c>
      <c r="D33" s="103">
        <f t="shared" si="8"/>
        <v>9294072</v>
      </c>
      <c r="E33" s="103">
        <f t="shared" si="8"/>
        <v>138986</v>
      </c>
      <c r="F33" s="103">
        <f t="shared" si="8"/>
        <v>259328</v>
      </c>
      <c r="G33" s="103">
        <f t="shared" si="8"/>
        <v>65833</v>
      </c>
      <c r="H33" s="103">
        <f t="shared" si="8"/>
        <v>93300</v>
      </c>
      <c r="I33" s="103">
        <f t="shared" si="8"/>
        <v>110468</v>
      </c>
      <c r="J33" s="103">
        <f t="shared" si="8"/>
        <v>594048</v>
      </c>
      <c r="K33" s="103">
        <f t="shared" si="8"/>
        <v>9700</v>
      </c>
      <c r="L33" s="103">
        <f t="shared" si="8"/>
        <v>12200</v>
      </c>
      <c r="M33" s="103">
        <f t="shared" si="8"/>
        <v>10700</v>
      </c>
      <c r="N33" s="103">
        <f t="shared" si="8"/>
        <v>37000</v>
      </c>
      <c r="O33" s="82">
        <f>SUM(C33:N33)</f>
        <v>11017135</v>
      </c>
      <c r="P33" s="333"/>
      <c r="Q33" s="333"/>
      <c r="R33" s="328"/>
      <c r="S33" s="329"/>
    </row>
    <row r="34" spans="1:17" ht="31.5">
      <c r="A34" s="117" t="s">
        <v>245</v>
      </c>
      <c r="B34" s="224" t="s">
        <v>246</v>
      </c>
      <c r="C34" s="105"/>
      <c r="D34" s="86"/>
      <c r="E34" s="104"/>
      <c r="F34" s="104"/>
      <c r="G34" s="118"/>
      <c r="H34" s="118"/>
      <c r="I34" s="107"/>
      <c r="J34" s="107"/>
      <c r="K34" s="107"/>
      <c r="L34" s="107"/>
      <c r="M34" s="107"/>
      <c r="N34" s="128"/>
      <c r="O34" s="87">
        <f t="shared" si="2"/>
        <v>0</v>
      </c>
      <c r="P34" s="334"/>
      <c r="Q34" s="327"/>
    </row>
    <row r="35" spans="1:17" ht="43.5">
      <c r="A35" s="119" t="s">
        <v>82</v>
      </c>
      <c r="B35" s="120" t="s">
        <v>283</v>
      </c>
      <c r="C35" s="37">
        <f aca="true" t="shared" si="9" ref="C35:N35">SUM(C36:C39)</f>
        <v>391500</v>
      </c>
      <c r="D35" s="37">
        <f t="shared" si="9"/>
        <v>9124092</v>
      </c>
      <c r="E35" s="37">
        <f t="shared" si="9"/>
        <v>138986</v>
      </c>
      <c r="F35" s="37">
        <f t="shared" si="9"/>
        <v>259328</v>
      </c>
      <c r="G35" s="37">
        <f t="shared" si="9"/>
        <v>65833</v>
      </c>
      <c r="H35" s="37">
        <f t="shared" si="9"/>
        <v>93300</v>
      </c>
      <c r="I35" s="37">
        <f t="shared" si="9"/>
        <v>110468</v>
      </c>
      <c r="J35" s="37">
        <f t="shared" si="9"/>
        <v>594048</v>
      </c>
      <c r="K35" s="37">
        <f t="shared" si="9"/>
        <v>9700</v>
      </c>
      <c r="L35" s="37">
        <f t="shared" si="9"/>
        <v>12200</v>
      </c>
      <c r="M35" s="37">
        <f t="shared" si="9"/>
        <v>10700</v>
      </c>
      <c r="N35" s="37">
        <f t="shared" si="9"/>
        <v>37000</v>
      </c>
      <c r="O35" s="87">
        <f>SUM(C35:N35)</f>
        <v>10847155</v>
      </c>
      <c r="P35" s="333"/>
      <c r="Q35" s="333"/>
    </row>
    <row r="36" spans="1:17" ht="15">
      <c r="A36" s="88" t="s">
        <v>202</v>
      </c>
      <c r="B36" s="89" t="s">
        <v>203</v>
      </c>
      <c r="C36" s="91">
        <v>188000</v>
      </c>
      <c r="D36" s="91"/>
      <c r="E36" s="110"/>
      <c r="F36" s="90"/>
      <c r="G36" s="24">
        <v>48700</v>
      </c>
      <c r="H36" s="37"/>
      <c r="I36" s="24"/>
      <c r="J36" s="24">
        <v>58464</v>
      </c>
      <c r="K36" s="37"/>
      <c r="L36" s="37"/>
      <c r="M36" s="37"/>
      <c r="N36" s="151"/>
      <c r="O36" s="87">
        <f t="shared" si="2"/>
        <v>295164</v>
      </c>
      <c r="P36" s="330"/>
      <c r="Q36" s="327"/>
    </row>
    <row r="37" spans="1:17" ht="30">
      <c r="A37" s="88" t="s">
        <v>204</v>
      </c>
      <c r="B37" s="89" t="s">
        <v>205</v>
      </c>
      <c r="C37" s="24">
        <v>1500</v>
      </c>
      <c r="D37" s="24"/>
      <c r="E37" s="24"/>
      <c r="F37" s="90"/>
      <c r="G37" s="109"/>
      <c r="H37" s="95"/>
      <c r="I37" s="108"/>
      <c r="J37" s="108">
        <v>15</v>
      </c>
      <c r="K37" s="108"/>
      <c r="L37" s="108"/>
      <c r="M37" s="108"/>
      <c r="N37" s="111"/>
      <c r="O37" s="87">
        <f t="shared" si="2"/>
        <v>1515</v>
      </c>
      <c r="P37" s="330"/>
      <c r="Q37" s="327"/>
    </row>
    <row r="38" spans="1:17" ht="15">
      <c r="A38" s="88" t="s">
        <v>83</v>
      </c>
      <c r="B38" s="89" t="s">
        <v>84</v>
      </c>
      <c r="C38" s="24">
        <v>184000</v>
      </c>
      <c r="D38" s="24">
        <v>58428</v>
      </c>
      <c r="E38" s="24">
        <v>64150</v>
      </c>
      <c r="F38" s="90">
        <v>2066</v>
      </c>
      <c r="G38" s="95">
        <v>4753</v>
      </c>
      <c r="H38" s="95">
        <v>4200</v>
      </c>
      <c r="I38" s="108">
        <v>3280</v>
      </c>
      <c r="J38" s="108">
        <v>28379</v>
      </c>
      <c r="K38" s="108">
        <v>1900</v>
      </c>
      <c r="L38" s="108">
        <v>1700</v>
      </c>
      <c r="M38" s="108">
        <f>1200+1500</f>
        <v>2700</v>
      </c>
      <c r="N38" s="111">
        <v>4400</v>
      </c>
      <c r="O38" s="87">
        <f t="shared" si="2"/>
        <v>359956</v>
      </c>
      <c r="P38" s="330"/>
      <c r="Q38" s="327"/>
    </row>
    <row r="39" spans="1:17" ht="30">
      <c r="A39" s="88" t="s">
        <v>85</v>
      </c>
      <c r="B39" s="89" t="s">
        <v>86</v>
      </c>
      <c r="C39" s="24">
        <v>18000</v>
      </c>
      <c r="D39" s="24">
        <f>9067680-2016</f>
        <v>9065664</v>
      </c>
      <c r="E39" s="24">
        <v>74836</v>
      </c>
      <c r="F39" s="90">
        <v>257262</v>
      </c>
      <c r="G39" s="218">
        <v>12380</v>
      </c>
      <c r="H39" s="95">
        <v>89100</v>
      </c>
      <c r="I39" s="94">
        <v>107188</v>
      </c>
      <c r="J39" s="94">
        <v>507190</v>
      </c>
      <c r="K39" s="94">
        <v>7800</v>
      </c>
      <c r="L39" s="94">
        <v>10500</v>
      </c>
      <c r="M39" s="94">
        <v>8000</v>
      </c>
      <c r="N39" s="94">
        <v>32600</v>
      </c>
      <c r="O39" s="87">
        <f>SUM(C39:N39)</f>
        <v>10190520</v>
      </c>
      <c r="P39" s="330"/>
      <c r="Q39" s="327"/>
    </row>
    <row r="40" spans="1:17" ht="30" thickBot="1">
      <c r="A40" s="336" t="s">
        <v>502</v>
      </c>
      <c r="B40" s="120" t="s">
        <v>503</v>
      </c>
      <c r="C40" s="37"/>
      <c r="D40" s="37">
        <v>169980</v>
      </c>
      <c r="E40" s="37"/>
      <c r="F40" s="151"/>
      <c r="G40" s="337"/>
      <c r="H40" s="183"/>
      <c r="I40" s="338"/>
      <c r="J40" s="338"/>
      <c r="K40" s="338"/>
      <c r="L40" s="338"/>
      <c r="M40" s="338"/>
      <c r="N40" s="338"/>
      <c r="O40" s="87">
        <f>SUM(C40:N40)</f>
        <v>169980</v>
      </c>
      <c r="P40" s="330"/>
      <c r="Q40" s="327"/>
    </row>
    <row r="41" spans="1:18" ht="15.75" thickBot="1">
      <c r="A41" s="123"/>
      <c r="B41" s="124" t="s">
        <v>87</v>
      </c>
      <c r="C41" s="125">
        <f aca="true" t="shared" si="10" ref="C41:N41">SUM(C8+C18+C26+C27+C29+C33)</f>
        <v>31199956</v>
      </c>
      <c r="D41" s="125">
        <f t="shared" si="10"/>
        <v>9296088</v>
      </c>
      <c r="E41" s="125">
        <f t="shared" si="10"/>
        <v>138986</v>
      </c>
      <c r="F41" s="339">
        <f t="shared" si="10"/>
        <v>259328</v>
      </c>
      <c r="G41" s="125">
        <f t="shared" si="10"/>
        <v>167011</v>
      </c>
      <c r="H41" s="125">
        <f t="shared" si="10"/>
        <v>203550</v>
      </c>
      <c r="I41" s="125">
        <f t="shared" si="10"/>
        <v>153868</v>
      </c>
      <c r="J41" s="125">
        <f t="shared" si="10"/>
        <v>835054</v>
      </c>
      <c r="K41" s="125">
        <f t="shared" si="10"/>
        <v>60810</v>
      </c>
      <c r="L41" s="125">
        <f t="shared" si="10"/>
        <v>57032</v>
      </c>
      <c r="M41" s="125">
        <f t="shared" si="10"/>
        <v>63490</v>
      </c>
      <c r="N41" s="125">
        <f t="shared" si="10"/>
        <v>89858</v>
      </c>
      <c r="O41" s="82">
        <f>SUM(C41:N41)</f>
        <v>42525031</v>
      </c>
      <c r="P41" s="333"/>
      <c r="Q41" s="333"/>
      <c r="R41" s="328"/>
    </row>
    <row r="42" spans="1:17" ht="15">
      <c r="A42" s="126" t="s">
        <v>504</v>
      </c>
      <c r="B42" s="127" t="s">
        <v>88</v>
      </c>
      <c r="C42" s="340">
        <f>10808502+43514</f>
        <v>10852016</v>
      </c>
      <c r="D42" s="86"/>
      <c r="E42" s="86"/>
      <c r="F42" s="104"/>
      <c r="G42" s="106">
        <v>19965</v>
      </c>
      <c r="H42" s="118"/>
      <c r="I42" s="107"/>
      <c r="J42" s="107">
        <v>37782</v>
      </c>
      <c r="K42" s="107"/>
      <c r="L42" s="107"/>
      <c r="M42" s="128"/>
      <c r="N42" s="107"/>
      <c r="O42" s="87">
        <f t="shared" si="2"/>
        <v>10909763</v>
      </c>
      <c r="P42" s="334"/>
      <c r="Q42" s="327"/>
    </row>
    <row r="43" spans="1:17" ht="15">
      <c r="A43" s="129"/>
      <c r="B43" s="130" t="s">
        <v>89</v>
      </c>
      <c r="C43" s="131">
        <f aca="true" t="shared" si="11" ref="C43:N43">SUM(C41:C42)</f>
        <v>42051972</v>
      </c>
      <c r="D43" s="132">
        <f t="shared" si="11"/>
        <v>9296088</v>
      </c>
      <c r="E43" s="132">
        <f t="shared" si="11"/>
        <v>138986</v>
      </c>
      <c r="F43" s="133">
        <f t="shared" si="11"/>
        <v>259328</v>
      </c>
      <c r="G43" s="132">
        <f t="shared" si="11"/>
        <v>186976</v>
      </c>
      <c r="H43" s="132">
        <f t="shared" si="11"/>
        <v>203550</v>
      </c>
      <c r="I43" s="132">
        <f t="shared" si="11"/>
        <v>153868</v>
      </c>
      <c r="J43" s="132">
        <f t="shared" si="11"/>
        <v>872836</v>
      </c>
      <c r="K43" s="132">
        <f t="shared" si="11"/>
        <v>60810</v>
      </c>
      <c r="L43" s="132">
        <f t="shared" si="11"/>
        <v>57032</v>
      </c>
      <c r="M43" s="133">
        <f t="shared" si="11"/>
        <v>63490</v>
      </c>
      <c r="N43" s="132">
        <f t="shared" si="11"/>
        <v>89858</v>
      </c>
      <c r="O43" s="87">
        <f t="shared" si="2"/>
        <v>53434794</v>
      </c>
      <c r="P43" s="330"/>
      <c r="Q43" s="327"/>
    </row>
    <row r="44" spans="1:18" ht="17.25" customHeight="1">
      <c r="A44" s="52" t="s">
        <v>469</v>
      </c>
      <c r="B44" s="51" t="s">
        <v>669</v>
      </c>
      <c r="C44" s="341">
        <f>2559836+11</f>
        <v>2559847</v>
      </c>
      <c r="D44" s="24">
        <v>1756201</v>
      </c>
      <c r="E44" s="24">
        <v>147523</v>
      </c>
      <c r="F44" s="90">
        <v>1486</v>
      </c>
      <c r="G44" s="95">
        <v>150578</v>
      </c>
      <c r="H44" s="95">
        <v>52058</v>
      </c>
      <c r="I44" s="108">
        <v>73941</v>
      </c>
      <c r="J44" s="108">
        <v>337988</v>
      </c>
      <c r="K44" s="108">
        <v>16221</v>
      </c>
      <c r="L44" s="108">
        <v>4400</v>
      </c>
      <c r="M44" s="111">
        <v>12970</v>
      </c>
      <c r="N44" s="108">
        <v>29718</v>
      </c>
      <c r="O44" s="87">
        <f>SUM(C44:N44)</f>
        <v>5142931</v>
      </c>
      <c r="P44" s="330"/>
      <c r="Q44" s="327"/>
      <c r="R44" s="328"/>
    </row>
    <row r="45" spans="1:17" ht="15">
      <c r="A45" s="52" t="s">
        <v>248</v>
      </c>
      <c r="B45" s="62" t="s">
        <v>249</v>
      </c>
      <c r="C45" s="134"/>
      <c r="D45" s="24"/>
      <c r="E45" s="24"/>
      <c r="F45" s="90"/>
      <c r="G45" s="95"/>
      <c r="H45" s="95"/>
      <c r="I45" s="108"/>
      <c r="J45" s="108"/>
      <c r="K45" s="108"/>
      <c r="L45" s="108"/>
      <c r="M45" s="111"/>
      <c r="N45" s="108"/>
      <c r="O45" s="87">
        <f t="shared" si="2"/>
        <v>0</v>
      </c>
      <c r="P45" s="334"/>
      <c r="Q45" s="327"/>
    </row>
    <row r="46" spans="1:17" ht="15">
      <c r="A46" s="129"/>
      <c r="B46" s="51" t="s">
        <v>90</v>
      </c>
      <c r="C46" s="131">
        <f>SUM(C43:C44)</f>
        <v>44611819</v>
      </c>
      <c r="D46" s="132">
        <f>SUM(D43:D44)</f>
        <v>11052289</v>
      </c>
      <c r="E46" s="132">
        <f>SUM(E43:E44)</f>
        <v>286509</v>
      </c>
      <c r="F46" s="133">
        <f aca="true" t="shared" si="12" ref="F46:N46">SUM(F43:F45)</f>
        <v>260814</v>
      </c>
      <c r="G46" s="132">
        <f t="shared" si="12"/>
        <v>337554</v>
      </c>
      <c r="H46" s="132">
        <f t="shared" si="12"/>
        <v>255608</v>
      </c>
      <c r="I46" s="132">
        <f t="shared" si="12"/>
        <v>227809</v>
      </c>
      <c r="J46" s="132">
        <f t="shared" si="12"/>
        <v>1210824</v>
      </c>
      <c r="K46" s="132">
        <f t="shared" si="12"/>
        <v>77031</v>
      </c>
      <c r="L46" s="132">
        <f t="shared" si="12"/>
        <v>61432</v>
      </c>
      <c r="M46" s="132">
        <f t="shared" si="12"/>
        <v>76460</v>
      </c>
      <c r="N46" s="132">
        <f t="shared" si="12"/>
        <v>119576</v>
      </c>
      <c r="O46" s="87">
        <f t="shared" si="2"/>
        <v>58577725</v>
      </c>
      <c r="P46" s="333"/>
      <c r="Q46" s="333"/>
    </row>
    <row r="47" spans="1:17" ht="15">
      <c r="A47" s="135"/>
      <c r="B47" s="16"/>
      <c r="C47" s="136"/>
      <c r="D47" s="137"/>
      <c r="E47" s="137"/>
      <c r="F47" s="137"/>
      <c r="G47" s="138"/>
      <c r="H47" s="138"/>
      <c r="I47" s="138"/>
      <c r="J47" s="138"/>
      <c r="K47" s="138"/>
      <c r="L47" s="138"/>
      <c r="M47" s="138"/>
      <c r="N47" s="138"/>
      <c r="O47" s="138"/>
      <c r="P47" s="334"/>
      <c r="Q47" s="327"/>
    </row>
    <row r="48" spans="1:17" ht="15">
      <c r="A48" s="135"/>
      <c r="B48" s="342"/>
      <c r="C48" s="83"/>
      <c r="D48" s="137"/>
      <c r="E48" s="137"/>
      <c r="F48" s="137"/>
      <c r="G48" s="41"/>
      <c r="H48" s="41"/>
      <c r="I48" s="41"/>
      <c r="J48" s="41"/>
      <c r="K48" s="41"/>
      <c r="L48" s="41"/>
      <c r="M48" s="41"/>
      <c r="N48" s="41"/>
      <c r="O48" s="41"/>
      <c r="P48" s="334"/>
      <c r="Q48" s="327"/>
    </row>
    <row r="49" spans="1:17" ht="15">
      <c r="A49" s="135"/>
      <c r="B49" s="342"/>
      <c r="C49" s="343"/>
      <c r="D49" s="343"/>
      <c r="E49" s="343"/>
      <c r="F49" s="343"/>
      <c r="G49" s="343"/>
      <c r="H49" s="343"/>
      <c r="I49" s="343"/>
      <c r="J49" s="343"/>
      <c r="K49" s="343"/>
      <c r="L49" s="343"/>
      <c r="M49" s="343"/>
      <c r="N49" s="343"/>
      <c r="O49" s="343"/>
      <c r="P49" s="334"/>
      <c r="Q49" s="327"/>
    </row>
    <row r="50" spans="2:17" ht="15">
      <c r="B50" s="139" t="s">
        <v>464</v>
      </c>
      <c r="D50" s="68" t="s">
        <v>59</v>
      </c>
      <c r="P50" s="334"/>
      <c r="Q50" s="334"/>
    </row>
    <row r="51" spans="2:17" ht="15">
      <c r="B51" s="139"/>
      <c r="P51" s="334"/>
      <c r="Q51" s="334"/>
    </row>
    <row r="52" spans="2:17" ht="15">
      <c r="B52" s="139"/>
      <c r="P52" s="334"/>
      <c r="Q52" s="334"/>
    </row>
    <row r="53" spans="1:17" ht="15">
      <c r="A53" s="135"/>
      <c r="B53" s="16"/>
      <c r="D53" s="140"/>
      <c r="E53" s="69" t="s">
        <v>91</v>
      </c>
      <c r="F53" s="69"/>
      <c r="P53" s="334"/>
      <c r="Q53" s="334"/>
    </row>
    <row r="54" spans="1:17" ht="15">
      <c r="A54" s="135"/>
      <c r="B54" s="16"/>
      <c r="E54" s="71" t="s">
        <v>48</v>
      </c>
      <c r="F54" s="71"/>
      <c r="P54" s="334"/>
      <c r="Q54" s="334"/>
    </row>
    <row r="55" spans="1:17" ht="15">
      <c r="A55" s="141"/>
      <c r="B55" s="142"/>
      <c r="E55" s="71" t="s">
        <v>685</v>
      </c>
      <c r="F55" s="71"/>
      <c r="P55" s="334"/>
      <c r="Q55" s="334"/>
    </row>
    <row r="56" spans="1:17" ht="15">
      <c r="A56" s="141"/>
      <c r="B56" s="142"/>
      <c r="E56" s="71"/>
      <c r="F56" s="71"/>
      <c r="P56" s="334"/>
      <c r="Q56" s="334"/>
    </row>
    <row r="57" spans="1:17" ht="39.75" customHeight="1" thickBot="1">
      <c r="A57" s="418" t="s">
        <v>505</v>
      </c>
      <c r="B57" s="418"/>
      <c r="C57" s="418"/>
      <c r="D57" s="418"/>
      <c r="P57" s="334"/>
      <c r="Q57" s="334"/>
    </row>
    <row r="58" spans="1:17" ht="105.75" thickBot="1">
      <c r="A58" s="74" t="s">
        <v>45</v>
      </c>
      <c r="B58" s="75" t="s">
        <v>190</v>
      </c>
      <c r="C58" s="215" t="s">
        <v>487</v>
      </c>
      <c r="D58" s="216" t="s">
        <v>488</v>
      </c>
      <c r="E58" s="76" t="s">
        <v>489</v>
      </c>
      <c r="F58" s="76" t="s">
        <v>490</v>
      </c>
      <c r="G58" s="77" t="s">
        <v>491</v>
      </c>
      <c r="H58" s="77" t="s">
        <v>492</v>
      </c>
      <c r="I58" s="77" t="s">
        <v>493</v>
      </c>
      <c r="J58" s="77" t="s">
        <v>494</v>
      </c>
      <c r="K58" s="77" t="s">
        <v>495</v>
      </c>
      <c r="L58" s="77" t="s">
        <v>496</v>
      </c>
      <c r="M58" s="77" t="s">
        <v>497</v>
      </c>
      <c r="N58" s="217" t="s">
        <v>498</v>
      </c>
      <c r="O58" s="78" t="s">
        <v>499</v>
      </c>
      <c r="P58" s="139"/>
      <c r="Q58" s="139"/>
    </row>
    <row r="59" spans="1:18" ht="15.75" thickBot="1">
      <c r="A59" s="143" t="s">
        <v>92</v>
      </c>
      <c r="B59" s="80" t="s">
        <v>93</v>
      </c>
      <c r="C59" s="103">
        <f>C60+C61+C63+C64+C68</f>
        <v>3375433</v>
      </c>
      <c r="D59" s="103">
        <f aca="true" t="shared" si="13" ref="D59:N59">D60+D61+D63+D64+D68</f>
        <v>0</v>
      </c>
      <c r="E59" s="103">
        <f t="shared" si="13"/>
        <v>0</v>
      </c>
      <c r="F59" s="103">
        <f t="shared" si="13"/>
        <v>0</v>
      </c>
      <c r="G59" s="81">
        <f t="shared" si="13"/>
        <v>158912</v>
      </c>
      <c r="H59" s="103">
        <f t="shared" si="13"/>
        <v>84350</v>
      </c>
      <c r="I59" s="103">
        <f t="shared" si="13"/>
        <v>97942</v>
      </c>
      <c r="J59" s="103">
        <f t="shared" si="13"/>
        <v>181875</v>
      </c>
      <c r="K59" s="103">
        <f t="shared" si="13"/>
        <v>100422</v>
      </c>
      <c r="L59" s="103">
        <f t="shared" si="13"/>
        <v>57982</v>
      </c>
      <c r="M59" s="103">
        <f t="shared" si="13"/>
        <v>68329</v>
      </c>
      <c r="N59" s="103">
        <f t="shared" si="13"/>
        <v>117517</v>
      </c>
      <c r="O59" s="82">
        <f>SUM(C59:N59)</f>
        <v>4242762</v>
      </c>
      <c r="P59" s="333"/>
      <c r="Q59" s="333"/>
      <c r="R59" s="344"/>
    </row>
    <row r="60" spans="1:18" ht="29.25">
      <c r="A60" s="144" t="s">
        <v>284</v>
      </c>
      <c r="B60" s="145" t="s">
        <v>285</v>
      </c>
      <c r="C60" s="146">
        <f>2385291+6918</f>
        <v>2392209</v>
      </c>
      <c r="D60" s="86"/>
      <c r="E60" s="86"/>
      <c r="F60" s="104"/>
      <c r="G60" s="105">
        <v>156941</v>
      </c>
      <c r="H60" s="196">
        <v>83940</v>
      </c>
      <c r="I60" s="196">
        <v>92767</v>
      </c>
      <c r="J60" s="226">
        <v>170555</v>
      </c>
      <c r="K60" s="196">
        <v>100422</v>
      </c>
      <c r="L60" s="196">
        <v>57557</v>
      </c>
      <c r="M60" s="196">
        <v>64579</v>
      </c>
      <c r="N60" s="147">
        <v>116084</v>
      </c>
      <c r="O60" s="149">
        <f>SUM(C60:N60)</f>
        <v>3235054</v>
      </c>
      <c r="P60" s="372"/>
      <c r="Q60" s="333"/>
      <c r="R60" s="344"/>
    </row>
    <row r="61" spans="1:18" ht="15">
      <c r="A61" s="150" t="s">
        <v>94</v>
      </c>
      <c r="B61" s="120" t="s">
        <v>95</v>
      </c>
      <c r="C61" s="151">
        <f>SUM(C62:C62)</f>
        <v>140000</v>
      </c>
      <c r="D61" s="151">
        <f>SUM(D62:D62)</f>
        <v>0</v>
      </c>
      <c r="E61" s="37"/>
      <c r="F61" s="151"/>
      <c r="G61" s="37">
        <f aca="true" t="shared" si="14" ref="G61:N61">SUM(G62:G62)</f>
        <v>1971</v>
      </c>
      <c r="H61" s="37">
        <f t="shared" si="14"/>
        <v>410</v>
      </c>
      <c r="I61" s="37">
        <f t="shared" si="14"/>
        <v>4480</v>
      </c>
      <c r="J61" s="151">
        <f t="shared" si="14"/>
        <v>779</v>
      </c>
      <c r="K61" s="151">
        <f t="shared" si="14"/>
        <v>0</v>
      </c>
      <c r="L61" s="151">
        <f t="shared" si="14"/>
        <v>425</v>
      </c>
      <c r="M61" s="151">
        <f t="shared" si="14"/>
        <v>1050</v>
      </c>
      <c r="N61" s="151">
        <f t="shared" si="14"/>
        <v>1433</v>
      </c>
      <c r="O61" s="152">
        <f aca="true" t="shared" si="15" ref="O61:O93">SUM(C61:N61)</f>
        <v>150548</v>
      </c>
      <c r="P61" s="372"/>
      <c r="Q61" s="333"/>
      <c r="R61" s="344"/>
    </row>
    <row r="62" spans="1:18" ht="30">
      <c r="A62" s="153" t="s">
        <v>96</v>
      </c>
      <c r="B62" s="89" t="s">
        <v>97</v>
      </c>
      <c r="C62" s="90">
        <v>140000</v>
      </c>
      <c r="D62" s="24"/>
      <c r="E62" s="24"/>
      <c r="F62" s="90"/>
      <c r="G62" s="108">
        <v>1971</v>
      </c>
      <c r="H62" s="95">
        <v>410</v>
      </c>
      <c r="I62" s="95">
        <v>4480</v>
      </c>
      <c r="J62" s="108">
        <v>779</v>
      </c>
      <c r="K62" s="108"/>
      <c r="L62" s="108">
        <v>425</v>
      </c>
      <c r="M62" s="108">
        <v>1050</v>
      </c>
      <c r="N62" s="108">
        <v>1433</v>
      </c>
      <c r="O62" s="152">
        <f t="shared" si="15"/>
        <v>150548</v>
      </c>
      <c r="P62" s="372"/>
      <c r="Q62" s="333"/>
      <c r="R62" s="344"/>
    </row>
    <row r="63" spans="1:18" ht="29.25">
      <c r="A63" s="150" t="s">
        <v>286</v>
      </c>
      <c r="B63" s="155" t="s">
        <v>287</v>
      </c>
      <c r="C63" s="90"/>
      <c r="D63" s="90"/>
      <c r="E63" s="24"/>
      <c r="F63" s="90"/>
      <c r="G63" s="108"/>
      <c r="H63" s="109"/>
      <c r="I63" s="109"/>
      <c r="J63" s="111"/>
      <c r="K63" s="111"/>
      <c r="L63" s="111"/>
      <c r="M63" s="111"/>
      <c r="N63" s="111"/>
      <c r="O63" s="152">
        <f t="shared" si="15"/>
        <v>0</v>
      </c>
      <c r="P63" s="372"/>
      <c r="Q63" s="333"/>
      <c r="R63" s="344"/>
    </row>
    <row r="64" spans="1:18" ht="29.25">
      <c r="A64" s="150" t="s">
        <v>98</v>
      </c>
      <c r="B64" s="155" t="s">
        <v>99</v>
      </c>
      <c r="C64" s="151">
        <f aca="true" t="shared" si="16" ref="C64:N64">SUM(C65:C67)</f>
        <v>668500</v>
      </c>
      <c r="D64" s="151">
        <f t="shared" si="16"/>
        <v>0</v>
      </c>
      <c r="E64" s="151">
        <f t="shared" si="16"/>
        <v>0</v>
      </c>
      <c r="F64" s="151">
        <f t="shared" si="16"/>
        <v>0</v>
      </c>
      <c r="G64" s="37">
        <f t="shared" si="16"/>
        <v>0</v>
      </c>
      <c r="H64" s="151">
        <f t="shared" si="16"/>
        <v>0</v>
      </c>
      <c r="I64" s="151">
        <f t="shared" si="16"/>
        <v>0</v>
      </c>
      <c r="J64" s="151">
        <f t="shared" si="16"/>
        <v>8396</v>
      </c>
      <c r="K64" s="151">
        <f t="shared" si="16"/>
        <v>0</v>
      </c>
      <c r="L64" s="151">
        <f t="shared" si="16"/>
        <v>0</v>
      </c>
      <c r="M64" s="151">
        <f t="shared" si="16"/>
        <v>2700</v>
      </c>
      <c r="N64" s="151">
        <f t="shared" si="16"/>
        <v>0</v>
      </c>
      <c r="O64" s="152">
        <f>SUM(C64:N64)</f>
        <v>679596</v>
      </c>
      <c r="P64" s="372"/>
      <c r="Q64" s="333"/>
      <c r="R64" s="344"/>
    </row>
    <row r="65" spans="1:18" ht="30">
      <c r="A65" s="157" t="s">
        <v>433</v>
      </c>
      <c r="B65" s="89" t="s">
        <v>100</v>
      </c>
      <c r="C65" s="90">
        <v>500000</v>
      </c>
      <c r="D65" s="24"/>
      <c r="E65" s="24"/>
      <c r="F65" s="90"/>
      <c r="G65" s="109"/>
      <c r="H65" s="109"/>
      <c r="I65" s="109"/>
      <c r="J65" s="108"/>
      <c r="K65" s="108"/>
      <c r="L65" s="108"/>
      <c r="M65" s="108"/>
      <c r="N65" s="111"/>
      <c r="O65" s="152">
        <f t="shared" si="15"/>
        <v>500000</v>
      </c>
      <c r="P65" s="372"/>
      <c r="Q65" s="333"/>
      <c r="R65" s="344"/>
    </row>
    <row r="66" spans="1:18" ht="30">
      <c r="A66" s="157" t="s">
        <v>288</v>
      </c>
      <c r="B66" s="89" t="s">
        <v>434</v>
      </c>
      <c r="C66" s="90">
        <v>18500</v>
      </c>
      <c r="D66" s="24"/>
      <c r="E66" s="24"/>
      <c r="F66" s="90"/>
      <c r="G66" s="95"/>
      <c r="H66" s="95"/>
      <c r="I66" s="95"/>
      <c r="J66" s="108">
        <v>8396</v>
      </c>
      <c r="K66" s="108"/>
      <c r="L66" s="108"/>
      <c r="M66" s="108">
        <v>2700</v>
      </c>
      <c r="N66" s="111"/>
      <c r="O66" s="152">
        <f t="shared" si="15"/>
        <v>29596</v>
      </c>
      <c r="P66" s="372"/>
      <c r="Q66" s="333"/>
      <c r="R66" s="344"/>
    </row>
    <row r="67" spans="1:18" ht="43.5" customHeight="1">
      <c r="A67" s="157" t="s">
        <v>506</v>
      </c>
      <c r="B67" s="97" t="s">
        <v>507</v>
      </c>
      <c r="C67" s="99">
        <f>150000</f>
        <v>150000</v>
      </c>
      <c r="D67" s="98"/>
      <c r="E67" s="98"/>
      <c r="F67" s="99"/>
      <c r="G67" s="212"/>
      <c r="H67" s="212"/>
      <c r="I67" s="212"/>
      <c r="J67" s="101"/>
      <c r="K67" s="101"/>
      <c r="L67" s="101"/>
      <c r="M67" s="101"/>
      <c r="N67" s="219"/>
      <c r="O67" s="152">
        <f t="shared" si="15"/>
        <v>150000</v>
      </c>
      <c r="P67" s="372"/>
      <c r="Q67" s="333"/>
      <c r="R67" s="344"/>
    </row>
    <row r="68" spans="1:18" s="70" customFormat="1" ht="15.75" thickBot="1">
      <c r="A68" s="158" t="s">
        <v>101</v>
      </c>
      <c r="B68" s="159" t="s">
        <v>289</v>
      </c>
      <c r="C68" s="325">
        <f>450000-275276</f>
        <v>174724</v>
      </c>
      <c r="D68" s="160"/>
      <c r="E68" s="160"/>
      <c r="F68" s="325"/>
      <c r="G68" s="227"/>
      <c r="H68" s="161"/>
      <c r="I68" s="162">
        <v>695</v>
      </c>
      <c r="J68" s="163">
        <v>2145</v>
      </c>
      <c r="K68" s="163"/>
      <c r="L68" s="163"/>
      <c r="M68" s="163"/>
      <c r="N68" s="228"/>
      <c r="O68" s="164">
        <f t="shared" si="15"/>
        <v>177564</v>
      </c>
      <c r="P68" s="372"/>
      <c r="Q68" s="333"/>
      <c r="R68" s="344"/>
    </row>
    <row r="69" spans="1:18" ht="15.75" thickBot="1">
      <c r="A69" s="165" t="s">
        <v>102</v>
      </c>
      <c r="B69" s="80" t="s">
        <v>103</v>
      </c>
      <c r="C69" s="103">
        <f>SUM(C70:C71,C74)</f>
        <v>655392</v>
      </c>
      <c r="D69" s="103">
        <f aca="true" t="shared" si="17" ref="D69:N69">SUM(D70:D71,D74)</f>
        <v>0</v>
      </c>
      <c r="E69" s="103">
        <f t="shared" si="17"/>
        <v>0</v>
      </c>
      <c r="F69" s="103">
        <f t="shared" si="17"/>
        <v>0</v>
      </c>
      <c r="G69" s="103">
        <f t="shared" si="17"/>
        <v>5515</v>
      </c>
      <c r="H69" s="103">
        <f t="shared" si="17"/>
        <v>0</v>
      </c>
      <c r="I69" s="103">
        <f t="shared" si="17"/>
        <v>0</v>
      </c>
      <c r="J69" s="103">
        <f t="shared" si="17"/>
        <v>4188</v>
      </c>
      <c r="K69" s="103">
        <f t="shared" si="17"/>
        <v>0</v>
      </c>
      <c r="L69" s="103">
        <f t="shared" si="17"/>
        <v>0</v>
      </c>
      <c r="M69" s="103">
        <f t="shared" si="17"/>
        <v>0</v>
      </c>
      <c r="N69" s="103">
        <f t="shared" si="17"/>
        <v>9761</v>
      </c>
      <c r="O69" s="82">
        <f>SUM(C69:N69)</f>
        <v>674856</v>
      </c>
      <c r="P69" s="333"/>
      <c r="Q69" s="333"/>
      <c r="R69" s="344"/>
    </row>
    <row r="70" spans="1:18" ht="15">
      <c r="A70" s="144" t="s">
        <v>290</v>
      </c>
      <c r="B70" s="145" t="s">
        <v>56</v>
      </c>
      <c r="C70" s="104">
        <v>592341</v>
      </c>
      <c r="D70" s="86"/>
      <c r="E70" s="86"/>
      <c r="F70" s="104"/>
      <c r="G70" s="106"/>
      <c r="H70" s="118"/>
      <c r="I70" s="118"/>
      <c r="J70" s="107"/>
      <c r="K70" s="107"/>
      <c r="L70" s="107"/>
      <c r="M70" s="107"/>
      <c r="N70" s="128"/>
      <c r="O70" s="166">
        <f t="shared" si="15"/>
        <v>592341</v>
      </c>
      <c r="P70" s="372"/>
      <c r="Q70" s="333"/>
      <c r="R70" s="344"/>
    </row>
    <row r="71" spans="1:18" ht="29.25">
      <c r="A71" s="345" t="s">
        <v>389</v>
      </c>
      <c r="B71" s="120" t="s">
        <v>398</v>
      </c>
      <c r="C71" s="90">
        <f>SUM(C72:C73)</f>
        <v>56291</v>
      </c>
      <c r="D71" s="90">
        <f aca="true" t="shared" si="18" ref="D71:N71">SUM(D72:D73)</f>
        <v>0</v>
      </c>
      <c r="E71" s="90">
        <f t="shared" si="18"/>
        <v>0</v>
      </c>
      <c r="F71" s="90">
        <f t="shared" si="18"/>
        <v>0</v>
      </c>
      <c r="G71" s="90">
        <f t="shared" si="18"/>
        <v>0</v>
      </c>
      <c r="H71" s="90">
        <f t="shared" si="18"/>
        <v>0</v>
      </c>
      <c r="I71" s="90">
        <f t="shared" si="18"/>
        <v>0</v>
      </c>
      <c r="J71" s="90">
        <f t="shared" si="18"/>
        <v>0</v>
      </c>
      <c r="K71" s="90">
        <f t="shared" si="18"/>
        <v>0</v>
      </c>
      <c r="L71" s="90">
        <f t="shared" si="18"/>
        <v>0</v>
      </c>
      <c r="M71" s="90">
        <f t="shared" si="18"/>
        <v>0</v>
      </c>
      <c r="N71" s="90">
        <f t="shared" si="18"/>
        <v>0</v>
      </c>
      <c r="O71" s="87">
        <f t="shared" si="15"/>
        <v>56291</v>
      </c>
      <c r="P71" s="372"/>
      <c r="Q71" s="333"/>
      <c r="R71" s="344"/>
    </row>
    <row r="72" spans="1:18" ht="42.75" customHeight="1">
      <c r="A72" s="345" t="s">
        <v>508</v>
      </c>
      <c r="B72" s="346" t="s">
        <v>509</v>
      </c>
      <c r="C72" s="396">
        <v>52000</v>
      </c>
      <c r="D72" s="24"/>
      <c r="E72" s="24"/>
      <c r="F72" s="90"/>
      <c r="G72" s="95"/>
      <c r="H72" s="109"/>
      <c r="I72" s="109"/>
      <c r="J72" s="108"/>
      <c r="K72" s="108"/>
      <c r="L72" s="108"/>
      <c r="M72" s="108"/>
      <c r="N72" s="182"/>
      <c r="O72" s="87">
        <f>SUM(C72:N72)</f>
        <v>52000</v>
      </c>
      <c r="P72" s="372"/>
      <c r="Q72" s="333"/>
      <c r="R72" s="344"/>
    </row>
    <row r="73" spans="1:18" ht="18" customHeight="1">
      <c r="A73" s="167" t="s">
        <v>625</v>
      </c>
      <c r="B73" s="346" t="s">
        <v>672</v>
      </c>
      <c r="C73" s="122">
        <f>1870+2421</f>
        <v>4291</v>
      </c>
      <c r="D73" s="121"/>
      <c r="E73" s="121"/>
      <c r="F73" s="122"/>
      <c r="G73" s="225"/>
      <c r="H73" s="168"/>
      <c r="I73" s="168"/>
      <c r="J73" s="169"/>
      <c r="K73" s="169"/>
      <c r="L73" s="169"/>
      <c r="M73" s="169"/>
      <c r="N73" s="181"/>
      <c r="O73" s="87">
        <f>SUM(C73:N73)</f>
        <v>4291</v>
      </c>
      <c r="P73" s="372"/>
      <c r="Q73" s="333"/>
      <c r="R73" s="344"/>
    </row>
    <row r="74" spans="1:18" s="70" customFormat="1" ht="30" thickBot="1">
      <c r="A74" s="170" t="s">
        <v>104</v>
      </c>
      <c r="B74" s="159" t="s">
        <v>291</v>
      </c>
      <c r="C74" s="160">
        <v>6760</v>
      </c>
      <c r="D74" s="160"/>
      <c r="E74" s="160"/>
      <c r="F74" s="325"/>
      <c r="G74" s="162">
        <v>5515</v>
      </c>
      <c r="H74" s="161"/>
      <c r="I74" s="161"/>
      <c r="J74" s="163">
        <v>4188</v>
      </c>
      <c r="K74" s="163"/>
      <c r="L74" s="163"/>
      <c r="M74" s="163"/>
      <c r="N74" s="228">
        <v>9761</v>
      </c>
      <c r="O74" s="164">
        <f t="shared" si="15"/>
        <v>26224</v>
      </c>
      <c r="P74" s="372"/>
      <c r="Q74" s="333"/>
      <c r="R74" s="344"/>
    </row>
    <row r="75" spans="1:18" ht="15.75" thickBot="1">
      <c r="A75" s="165" t="s">
        <v>31</v>
      </c>
      <c r="B75" s="80" t="s">
        <v>105</v>
      </c>
      <c r="C75" s="103">
        <f aca="true" t="shared" si="19" ref="C75:N75">SUM(C76,C85:C91,C96)</f>
        <v>8682297</v>
      </c>
      <c r="D75" s="103">
        <f t="shared" si="19"/>
        <v>627527</v>
      </c>
      <c r="E75" s="103">
        <f t="shared" si="19"/>
        <v>0</v>
      </c>
      <c r="F75" s="103">
        <f t="shared" si="19"/>
        <v>0</v>
      </c>
      <c r="G75" s="103">
        <f t="shared" si="19"/>
        <v>64192</v>
      </c>
      <c r="H75" s="103">
        <f t="shared" si="19"/>
        <v>14920</v>
      </c>
      <c r="I75" s="103">
        <f t="shared" si="19"/>
        <v>12068</v>
      </c>
      <c r="J75" s="103">
        <f t="shared" si="19"/>
        <v>103954</v>
      </c>
      <c r="K75" s="103">
        <f t="shared" si="19"/>
        <v>7070</v>
      </c>
      <c r="L75" s="103">
        <f t="shared" si="19"/>
        <v>0</v>
      </c>
      <c r="M75" s="103">
        <f t="shared" si="19"/>
        <v>1950</v>
      </c>
      <c r="N75" s="103">
        <f t="shared" si="19"/>
        <v>0</v>
      </c>
      <c r="O75" s="82">
        <f aca="true" t="shared" si="20" ref="O75:O84">SUM(C75:N75)</f>
        <v>9513978</v>
      </c>
      <c r="P75" s="333"/>
      <c r="Q75" s="333"/>
      <c r="R75" s="344"/>
    </row>
    <row r="76" spans="1:18" ht="15">
      <c r="A76" s="144" t="s">
        <v>106</v>
      </c>
      <c r="B76" s="171" t="s">
        <v>107</v>
      </c>
      <c r="C76" s="146">
        <f>SUM(C77:C84)</f>
        <v>202459</v>
      </c>
      <c r="D76" s="146">
        <f aca="true" t="shared" si="21" ref="D76:N76">SUM(D77:D84)</f>
        <v>0</v>
      </c>
      <c r="E76" s="146">
        <f t="shared" si="21"/>
        <v>0</v>
      </c>
      <c r="F76" s="146">
        <f t="shared" si="21"/>
        <v>0</v>
      </c>
      <c r="G76" s="146">
        <f t="shared" si="21"/>
        <v>0</v>
      </c>
      <c r="H76" s="146">
        <f t="shared" si="21"/>
        <v>0</v>
      </c>
      <c r="I76" s="146">
        <f t="shared" si="21"/>
        <v>0</v>
      </c>
      <c r="J76" s="146">
        <f t="shared" si="21"/>
        <v>0</v>
      </c>
      <c r="K76" s="146">
        <f t="shared" si="21"/>
        <v>0</v>
      </c>
      <c r="L76" s="146">
        <f t="shared" si="21"/>
        <v>0</v>
      </c>
      <c r="M76" s="146">
        <f t="shared" si="21"/>
        <v>0</v>
      </c>
      <c r="N76" s="146">
        <f t="shared" si="21"/>
        <v>0</v>
      </c>
      <c r="O76" s="166">
        <f t="shared" si="20"/>
        <v>202459</v>
      </c>
      <c r="P76" s="372"/>
      <c r="Q76" s="333"/>
      <c r="R76" s="344"/>
    </row>
    <row r="77" spans="1:18" ht="15">
      <c r="A77" s="172" t="s">
        <v>292</v>
      </c>
      <c r="B77" s="347" t="s">
        <v>293</v>
      </c>
      <c r="C77" s="90">
        <v>10000</v>
      </c>
      <c r="D77" s="86"/>
      <c r="E77" s="86"/>
      <c r="F77" s="104"/>
      <c r="G77" s="118"/>
      <c r="H77" s="118"/>
      <c r="I77" s="106"/>
      <c r="J77" s="107"/>
      <c r="K77" s="107"/>
      <c r="L77" s="107"/>
      <c r="M77" s="107"/>
      <c r="N77" s="128"/>
      <c r="O77" s="348">
        <f t="shared" si="20"/>
        <v>10000</v>
      </c>
      <c r="P77" s="372"/>
      <c r="Q77" s="333"/>
      <c r="R77" s="344"/>
    </row>
    <row r="78" spans="1:18" ht="30">
      <c r="A78" s="172" t="s">
        <v>294</v>
      </c>
      <c r="B78" s="174" t="s">
        <v>10</v>
      </c>
      <c r="C78" s="104">
        <f>25000+354</f>
        <v>25354</v>
      </c>
      <c r="D78" s="86"/>
      <c r="E78" s="86"/>
      <c r="F78" s="104"/>
      <c r="G78" s="118"/>
      <c r="H78" s="118"/>
      <c r="I78" s="118"/>
      <c r="J78" s="107"/>
      <c r="K78" s="107"/>
      <c r="L78" s="107"/>
      <c r="M78" s="107"/>
      <c r="N78" s="128"/>
      <c r="O78" s="349">
        <f t="shared" si="20"/>
        <v>25354</v>
      </c>
      <c r="P78" s="372"/>
      <c r="Q78" s="333"/>
      <c r="R78" s="344"/>
    </row>
    <row r="79" spans="1:18" ht="30">
      <c r="A79" s="172" t="s">
        <v>435</v>
      </c>
      <c r="B79" s="174" t="s">
        <v>510</v>
      </c>
      <c r="C79" s="104">
        <f>7880-3952</f>
        <v>3928</v>
      </c>
      <c r="D79" s="86"/>
      <c r="E79" s="86"/>
      <c r="F79" s="104"/>
      <c r="G79" s="118"/>
      <c r="H79" s="118"/>
      <c r="I79" s="118"/>
      <c r="J79" s="107"/>
      <c r="K79" s="107"/>
      <c r="L79" s="107"/>
      <c r="M79" s="107"/>
      <c r="N79" s="128"/>
      <c r="O79" s="349">
        <f t="shared" si="20"/>
        <v>3928</v>
      </c>
      <c r="P79" s="372"/>
      <c r="Q79" s="333"/>
      <c r="R79" s="344"/>
    </row>
    <row r="80" spans="1:18" ht="15">
      <c r="A80" s="172" t="s">
        <v>436</v>
      </c>
      <c r="B80" s="174" t="s">
        <v>511</v>
      </c>
      <c r="C80" s="104"/>
      <c r="D80" s="86"/>
      <c r="E80" s="86"/>
      <c r="F80" s="104"/>
      <c r="G80" s="118"/>
      <c r="H80" s="118"/>
      <c r="I80" s="118"/>
      <c r="J80" s="107"/>
      <c r="K80" s="107"/>
      <c r="L80" s="107"/>
      <c r="M80" s="107"/>
      <c r="N80" s="128"/>
      <c r="O80" s="349">
        <f t="shared" si="20"/>
        <v>0</v>
      </c>
      <c r="P80" s="372"/>
      <c r="Q80" s="333"/>
      <c r="R80" s="344"/>
    </row>
    <row r="81" spans="1:18" ht="15">
      <c r="A81" s="172" t="s">
        <v>437</v>
      </c>
      <c r="B81" s="350" t="s">
        <v>512</v>
      </c>
      <c r="C81" s="90">
        <v>5000</v>
      </c>
      <c r="D81" s="24"/>
      <c r="E81" s="24"/>
      <c r="F81" s="90"/>
      <c r="G81" s="108"/>
      <c r="H81" s="109"/>
      <c r="I81" s="109"/>
      <c r="J81" s="108"/>
      <c r="K81" s="108"/>
      <c r="L81" s="108"/>
      <c r="M81" s="108"/>
      <c r="N81" s="111"/>
      <c r="O81" s="349">
        <f t="shared" si="20"/>
        <v>5000</v>
      </c>
      <c r="P81" s="372"/>
      <c r="Q81" s="333"/>
      <c r="R81" s="344"/>
    </row>
    <row r="82" spans="1:18" ht="30">
      <c r="A82" s="172" t="s">
        <v>513</v>
      </c>
      <c r="B82" s="351" t="s">
        <v>514</v>
      </c>
      <c r="C82" s="90">
        <v>9910</v>
      </c>
      <c r="D82" s="24"/>
      <c r="E82" s="24"/>
      <c r="F82" s="90"/>
      <c r="G82" s="108"/>
      <c r="H82" s="109"/>
      <c r="I82" s="109"/>
      <c r="J82" s="108"/>
      <c r="K82" s="108"/>
      <c r="L82" s="108"/>
      <c r="M82" s="108"/>
      <c r="N82" s="111"/>
      <c r="O82" s="349">
        <f t="shared" si="20"/>
        <v>9910</v>
      </c>
      <c r="P82" s="372"/>
      <c r="Q82" s="333"/>
      <c r="R82" s="344"/>
    </row>
    <row r="83" spans="1:18" ht="30">
      <c r="A83" s="172" t="s">
        <v>515</v>
      </c>
      <c r="B83" s="352" t="s">
        <v>516</v>
      </c>
      <c r="C83" s="90">
        <v>121000</v>
      </c>
      <c r="D83" s="24"/>
      <c r="E83" s="24"/>
      <c r="F83" s="90"/>
      <c r="G83" s="108"/>
      <c r="H83" s="109"/>
      <c r="I83" s="109"/>
      <c r="J83" s="108"/>
      <c r="K83" s="108"/>
      <c r="L83" s="108"/>
      <c r="M83" s="108"/>
      <c r="N83" s="111"/>
      <c r="O83" s="349">
        <f t="shared" si="20"/>
        <v>121000</v>
      </c>
      <c r="P83" s="372"/>
      <c r="Q83" s="333"/>
      <c r="R83" s="344"/>
    </row>
    <row r="84" spans="1:18" ht="45">
      <c r="A84" s="172" t="s">
        <v>517</v>
      </c>
      <c r="B84" s="346" t="s">
        <v>518</v>
      </c>
      <c r="C84" s="90">
        <f>12100+15167</f>
        <v>27267</v>
      </c>
      <c r="D84" s="24"/>
      <c r="E84" s="24"/>
      <c r="F84" s="90"/>
      <c r="G84" s="108"/>
      <c r="H84" s="109"/>
      <c r="I84" s="109"/>
      <c r="J84" s="108"/>
      <c r="K84" s="108"/>
      <c r="L84" s="108"/>
      <c r="M84" s="108"/>
      <c r="N84" s="111"/>
      <c r="O84" s="349">
        <f t="shared" si="20"/>
        <v>27267</v>
      </c>
      <c r="P84" s="372"/>
      <c r="Q84" s="333"/>
      <c r="R84" s="344"/>
    </row>
    <row r="85" spans="1:18" ht="15">
      <c r="A85" s="150" t="s">
        <v>108</v>
      </c>
      <c r="B85" s="120" t="s">
        <v>295</v>
      </c>
      <c r="C85" s="151"/>
      <c r="D85" s="37"/>
      <c r="E85" s="37"/>
      <c r="F85" s="151"/>
      <c r="G85" s="109"/>
      <c r="H85" s="109"/>
      <c r="I85" s="109"/>
      <c r="J85" s="108">
        <v>1165</v>
      </c>
      <c r="K85" s="108"/>
      <c r="L85" s="108"/>
      <c r="M85" s="108">
        <v>1950</v>
      </c>
      <c r="N85" s="111"/>
      <c r="O85" s="152">
        <f t="shared" si="15"/>
        <v>3115</v>
      </c>
      <c r="P85" s="372"/>
      <c r="Q85" s="333"/>
      <c r="R85" s="344"/>
    </row>
    <row r="86" spans="1:18" ht="45">
      <c r="A86" s="172" t="s">
        <v>519</v>
      </c>
      <c r="B86" s="353" t="s">
        <v>520</v>
      </c>
      <c r="C86" s="104">
        <v>1850000</v>
      </c>
      <c r="D86" s="37"/>
      <c r="E86" s="37"/>
      <c r="F86" s="151"/>
      <c r="G86" s="109"/>
      <c r="H86" s="109"/>
      <c r="I86" s="109"/>
      <c r="J86" s="108"/>
      <c r="K86" s="108"/>
      <c r="L86" s="108"/>
      <c r="M86" s="108"/>
      <c r="N86" s="111"/>
      <c r="O86" s="152">
        <f t="shared" si="15"/>
        <v>1850000</v>
      </c>
      <c r="P86" s="372"/>
      <c r="Q86" s="333"/>
      <c r="R86" s="344"/>
    </row>
    <row r="87" spans="1:18" ht="60">
      <c r="A87" s="172" t="s">
        <v>521</v>
      </c>
      <c r="B87" s="354" t="s">
        <v>522</v>
      </c>
      <c r="C87" s="104">
        <v>49820</v>
      </c>
      <c r="D87" s="37"/>
      <c r="E87" s="37"/>
      <c r="F87" s="151"/>
      <c r="G87" s="109"/>
      <c r="H87" s="109"/>
      <c r="I87" s="109"/>
      <c r="J87" s="108"/>
      <c r="K87" s="108"/>
      <c r="L87" s="108"/>
      <c r="M87" s="108"/>
      <c r="N87" s="111"/>
      <c r="O87" s="152">
        <f t="shared" si="15"/>
        <v>49820</v>
      </c>
      <c r="P87" s="372"/>
      <c r="Q87" s="333"/>
      <c r="R87" s="344"/>
    </row>
    <row r="88" spans="1:18" ht="45">
      <c r="A88" s="172" t="s">
        <v>523</v>
      </c>
      <c r="B88" s="355" t="s">
        <v>524</v>
      </c>
      <c r="C88" s="104">
        <v>1016000</v>
      </c>
      <c r="D88" s="37"/>
      <c r="E88" s="37"/>
      <c r="F88" s="151"/>
      <c r="G88" s="109"/>
      <c r="H88" s="109"/>
      <c r="I88" s="109"/>
      <c r="J88" s="108"/>
      <c r="K88" s="108"/>
      <c r="L88" s="108"/>
      <c r="M88" s="108"/>
      <c r="N88" s="111"/>
      <c r="O88" s="152">
        <f t="shared" si="15"/>
        <v>1016000</v>
      </c>
      <c r="P88" s="372"/>
      <c r="Q88" s="333"/>
      <c r="R88" s="344"/>
    </row>
    <row r="89" spans="1:18" ht="15">
      <c r="A89" s="144" t="s">
        <v>109</v>
      </c>
      <c r="B89" s="145" t="s">
        <v>110</v>
      </c>
      <c r="C89" s="146"/>
      <c r="D89" s="24"/>
      <c r="E89" s="24"/>
      <c r="F89" s="90"/>
      <c r="G89" s="109"/>
      <c r="H89" s="109"/>
      <c r="I89" s="109"/>
      <c r="J89" s="108">
        <v>2400</v>
      </c>
      <c r="K89" s="108">
        <v>7070</v>
      </c>
      <c r="L89" s="108"/>
      <c r="M89" s="108"/>
      <c r="N89" s="111"/>
      <c r="O89" s="152">
        <f t="shared" si="15"/>
        <v>9470</v>
      </c>
      <c r="P89" s="372"/>
      <c r="Q89" s="333"/>
      <c r="R89" s="344"/>
    </row>
    <row r="90" spans="1:18" ht="15">
      <c r="A90" s="144" t="s">
        <v>206</v>
      </c>
      <c r="B90" s="145" t="s">
        <v>207</v>
      </c>
      <c r="C90" s="146">
        <f>399254+29</f>
        <v>399283</v>
      </c>
      <c r="D90" s="90"/>
      <c r="E90" s="24"/>
      <c r="F90" s="90"/>
      <c r="G90" s="109"/>
      <c r="H90" s="109"/>
      <c r="I90" s="109"/>
      <c r="J90" s="108">
        <v>49818</v>
      </c>
      <c r="K90" s="111"/>
      <c r="L90" s="111"/>
      <c r="M90" s="111"/>
      <c r="N90" s="111"/>
      <c r="O90" s="152">
        <f t="shared" si="15"/>
        <v>449101</v>
      </c>
      <c r="P90" s="372"/>
      <c r="Q90" s="333"/>
      <c r="R90" s="344"/>
    </row>
    <row r="91" spans="1:18" ht="15">
      <c r="A91" s="150" t="s">
        <v>111</v>
      </c>
      <c r="B91" s="120" t="s">
        <v>112</v>
      </c>
      <c r="C91" s="151">
        <f aca="true" t="shared" si="22" ref="C91:N91">SUM(C92:C95)</f>
        <v>5164735</v>
      </c>
      <c r="D91" s="151">
        <f t="shared" si="22"/>
        <v>627527</v>
      </c>
      <c r="E91" s="151">
        <f t="shared" si="22"/>
        <v>0</v>
      </c>
      <c r="F91" s="151">
        <f t="shared" si="22"/>
        <v>0</v>
      </c>
      <c r="G91" s="37">
        <f t="shared" si="22"/>
        <v>64192</v>
      </c>
      <c r="H91" s="151">
        <f t="shared" si="22"/>
        <v>14920</v>
      </c>
      <c r="I91" s="151">
        <f t="shared" si="22"/>
        <v>12068</v>
      </c>
      <c r="J91" s="151">
        <f t="shared" si="22"/>
        <v>50571</v>
      </c>
      <c r="K91" s="151">
        <f t="shared" si="22"/>
        <v>0</v>
      </c>
      <c r="L91" s="151">
        <f t="shared" si="22"/>
        <v>0</v>
      </c>
      <c r="M91" s="151">
        <f t="shared" si="22"/>
        <v>0</v>
      </c>
      <c r="N91" s="151">
        <f t="shared" si="22"/>
        <v>0</v>
      </c>
      <c r="O91" s="152">
        <f t="shared" si="15"/>
        <v>5934013</v>
      </c>
      <c r="P91" s="372"/>
      <c r="Q91" s="333"/>
      <c r="R91" s="344"/>
    </row>
    <row r="92" spans="1:18" ht="15">
      <c r="A92" s="153" t="s">
        <v>296</v>
      </c>
      <c r="B92" s="174" t="s">
        <v>113</v>
      </c>
      <c r="C92" s="90">
        <f>2620129+124652</f>
        <v>2744781</v>
      </c>
      <c r="D92" s="24">
        <v>328382</v>
      </c>
      <c r="E92" s="24"/>
      <c r="F92" s="90"/>
      <c r="G92" s="95"/>
      <c r="H92" s="109"/>
      <c r="I92" s="95">
        <v>1114</v>
      </c>
      <c r="J92" s="108"/>
      <c r="K92" s="108"/>
      <c r="L92" s="108"/>
      <c r="M92" s="108"/>
      <c r="N92" s="111"/>
      <c r="O92" s="152">
        <f t="shared" si="15"/>
        <v>3074277</v>
      </c>
      <c r="P92" s="372"/>
      <c r="Q92" s="333"/>
      <c r="R92" s="344"/>
    </row>
    <row r="93" spans="1:18" ht="15">
      <c r="A93" s="153" t="s">
        <v>297</v>
      </c>
      <c r="B93" s="174" t="s">
        <v>298</v>
      </c>
      <c r="C93" s="90"/>
      <c r="D93" s="24">
        <v>299145</v>
      </c>
      <c r="E93" s="24"/>
      <c r="F93" s="90"/>
      <c r="G93" s="108">
        <f>44227+19965</f>
        <v>64192</v>
      </c>
      <c r="H93" s="95">
        <v>14920</v>
      </c>
      <c r="I93" s="95">
        <v>10954</v>
      </c>
      <c r="J93" s="111">
        <v>50571</v>
      </c>
      <c r="K93" s="111"/>
      <c r="L93" s="111"/>
      <c r="M93" s="111"/>
      <c r="N93" s="111"/>
      <c r="O93" s="152">
        <f t="shared" si="15"/>
        <v>439782</v>
      </c>
      <c r="P93" s="372"/>
      <c r="Q93" s="333"/>
      <c r="R93" s="344"/>
    </row>
    <row r="94" spans="1:18" ht="15">
      <c r="A94" s="153" t="s">
        <v>390</v>
      </c>
      <c r="B94" s="346" t="s">
        <v>525</v>
      </c>
      <c r="C94" s="90">
        <v>200000</v>
      </c>
      <c r="D94" s="24"/>
      <c r="E94" s="24"/>
      <c r="F94" s="90"/>
      <c r="G94" s="108"/>
      <c r="H94" s="95"/>
      <c r="I94" s="95"/>
      <c r="J94" s="111"/>
      <c r="K94" s="111"/>
      <c r="L94" s="111"/>
      <c r="M94" s="111"/>
      <c r="N94" s="111"/>
      <c r="O94" s="152">
        <f>SUM(C94:N94)</f>
        <v>200000</v>
      </c>
      <c r="P94" s="372"/>
      <c r="Q94" s="333"/>
      <c r="R94" s="344"/>
    </row>
    <row r="95" spans="1:18" ht="30">
      <c r="A95" s="153" t="s">
        <v>526</v>
      </c>
      <c r="B95" s="174" t="s">
        <v>527</v>
      </c>
      <c r="C95" s="90">
        <f>2210000+9954</f>
        <v>2219954</v>
      </c>
      <c r="D95" s="24"/>
      <c r="E95" s="24"/>
      <c r="F95" s="90"/>
      <c r="G95" s="108"/>
      <c r="H95" s="109"/>
      <c r="I95" s="109"/>
      <c r="J95" s="111"/>
      <c r="K95" s="111"/>
      <c r="L95" s="111"/>
      <c r="M95" s="111"/>
      <c r="N95" s="111"/>
      <c r="O95" s="152">
        <f>SUM(C95:N95)</f>
        <v>2219954</v>
      </c>
      <c r="P95" s="372"/>
      <c r="Q95" s="333"/>
      <c r="R95" s="344"/>
    </row>
    <row r="96" spans="1:18" ht="15">
      <c r="A96" s="150" t="s">
        <v>114</v>
      </c>
      <c r="B96" s="155" t="s">
        <v>115</v>
      </c>
      <c r="C96" s="151">
        <f>SUM(C97:C97)</f>
        <v>0</v>
      </c>
      <c r="D96" s="24"/>
      <c r="E96" s="24"/>
      <c r="F96" s="90"/>
      <c r="G96" s="37">
        <f aca="true" t="shared" si="23" ref="G96:N96">SUM(G97:G97)</f>
        <v>0</v>
      </c>
      <c r="H96" s="37">
        <f t="shared" si="23"/>
        <v>0</v>
      </c>
      <c r="I96" s="37">
        <f>SUM(I97:I97)</f>
        <v>0</v>
      </c>
      <c r="J96" s="151">
        <f t="shared" si="23"/>
        <v>0</v>
      </c>
      <c r="K96" s="151">
        <f t="shared" si="23"/>
        <v>0</v>
      </c>
      <c r="L96" s="151">
        <f t="shared" si="23"/>
        <v>0</v>
      </c>
      <c r="M96" s="151">
        <f t="shared" si="23"/>
        <v>0</v>
      </c>
      <c r="N96" s="151">
        <f t="shared" si="23"/>
        <v>0</v>
      </c>
      <c r="O96" s="152">
        <f aca="true" t="shared" si="24" ref="O96:O123">SUM(C96:N96)</f>
        <v>0</v>
      </c>
      <c r="P96" s="372"/>
      <c r="Q96" s="333"/>
      <c r="R96" s="344"/>
    </row>
    <row r="97" spans="1:18" ht="15.75" thickBot="1">
      <c r="A97" s="153" t="s">
        <v>299</v>
      </c>
      <c r="B97" s="89" t="s">
        <v>407</v>
      </c>
      <c r="C97" s="90"/>
      <c r="D97" s="24"/>
      <c r="E97" s="24"/>
      <c r="F97" s="90"/>
      <c r="G97" s="108"/>
      <c r="H97" s="109"/>
      <c r="I97" s="109"/>
      <c r="J97" s="108"/>
      <c r="K97" s="108"/>
      <c r="L97" s="108"/>
      <c r="M97" s="108"/>
      <c r="N97" s="111"/>
      <c r="O97" s="152">
        <f t="shared" si="24"/>
        <v>0</v>
      </c>
      <c r="P97" s="372"/>
      <c r="Q97" s="333"/>
      <c r="R97" s="344"/>
    </row>
    <row r="98" spans="1:18" ht="15.75" thickBot="1">
      <c r="A98" s="165" t="s">
        <v>54</v>
      </c>
      <c r="B98" s="175" t="s">
        <v>116</v>
      </c>
      <c r="C98" s="103">
        <f>C99+C102+C105+C109</f>
        <v>1843357</v>
      </c>
      <c r="D98" s="103">
        <f aca="true" t="shared" si="25" ref="D98:N98">D99+D102+D105+D109</f>
        <v>636178</v>
      </c>
      <c r="E98" s="103">
        <f t="shared" si="25"/>
        <v>0</v>
      </c>
      <c r="F98" s="103">
        <f t="shared" si="25"/>
        <v>76723</v>
      </c>
      <c r="G98" s="81">
        <f t="shared" si="25"/>
        <v>0</v>
      </c>
      <c r="H98" s="103">
        <f t="shared" si="25"/>
        <v>0</v>
      </c>
      <c r="I98" s="103">
        <f t="shared" si="25"/>
        <v>21022</v>
      </c>
      <c r="J98" s="103">
        <f t="shared" si="25"/>
        <v>52855</v>
      </c>
      <c r="K98" s="103">
        <f t="shared" si="25"/>
        <v>1600</v>
      </c>
      <c r="L98" s="103">
        <f t="shared" si="25"/>
        <v>9406</v>
      </c>
      <c r="M98" s="103">
        <f t="shared" si="25"/>
        <v>0</v>
      </c>
      <c r="N98" s="103">
        <f t="shared" si="25"/>
        <v>9770</v>
      </c>
      <c r="O98" s="82">
        <f t="shared" si="24"/>
        <v>2650911</v>
      </c>
      <c r="P98" s="333"/>
      <c r="Q98" s="333"/>
      <c r="R98" s="344"/>
    </row>
    <row r="99" spans="1:18" ht="15">
      <c r="A99" s="144" t="s">
        <v>117</v>
      </c>
      <c r="B99" s="176" t="s">
        <v>118</v>
      </c>
      <c r="C99" s="146">
        <f>SUM(C100:C101)</f>
        <v>19915</v>
      </c>
      <c r="D99" s="146">
        <f aca="true" t="shared" si="26" ref="D99:N99">SUM(D100:D101)</f>
        <v>419004</v>
      </c>
      <c r="E99" s="146">
        <f t="shared" si="26"/>
        <v>0</v>
      </c>
      <c r="F99" s="146">
        <f t="shared" si="26"/>
        <v>25836</v>
      </c>
      <c r="G99" s="146">
        <f t="shared" si="26"/>
        <v>0</v>
      </c>
      <c r="H99" s="146">
        <f t="shared" si="26"/>
        <v>0</v>
      </c>
      <c r="I99" s="146">
        <f t="shared" si="26"/>
        <v>21022</v>
      </c>
      <c r="J99" s="146">
        <f t="shared" si="26"/>
        <v>22964</v>
      </c>
      <c r="K99" s="146">
        <f t="shared" si="26"/>
        <v>1600</v>
      </c>
      <c r="L99" s="146">
        <f t="shared" si="26"/>
        <v>4500</v>
      </c>
      <c r="M99" s="146">
        <f t="shared" si="26"/>
        <v>0</v>
      </c>
      <c r="N99" s="146">
        <f t="shared" si="26"/>
        <v>0</v>
      </c>
      <c r="O99" s="149">
        <f t="shared" si="24"/>
        <v>514841</v>
      </c>
      <c r="P99" s="372"/>
      <c r="Q99" s="333"/>
      <c r="R99" s="344"/>
    </row>
    <row r="100" spans="1:18" ht="30">
      <c r="A100" s="153" t="s">
        <v>300</v>
      </c>
      <c r="B100" s="174" t="s">
        <v>528</v>
      </c>
      <c r="C100" s="90">
        <f>8573+3342</f>
        <v>11915</v>
      </c>
      <c r="D100" s="24">
        <v>419004</v>
      </c>
      <c r="E100" s="24"/>
      <c r="F100" s="90">
        <v>25836</v>
      </c>
      <c r="G100" s="95"/>
      <c r="H100" s="109"/>
      <c r="I100" s="95">
        <v>21022</v>
      </c>
      <c r="J100" s="108">
        <v>22964</v>
      </c>
      <c r="K100" s="108">
        <v>1600</v>
      </c>
      <c r="L100" s="108">
        <v>4500</v>
      </c>
      <c r="M100" s="108"/>
      <c r="N100" s="111"/>
      <c r="O100" s="152">
        <f t="shared" si="24"/>
        <v>506841</v>
      </c>
      <c r="P100" s="372"/>
      <c r="Q100" s="333"/>
      <c r="R100" s="344"/>
    </row>
    <row r="101" spans="1:18" ht="15">
      <c r="A101" s="153" t="s">
        <v>529</v>
      </c>
      <c r="B101" s="346" t="s">
        <v>530</v>
      </c>
      <c r="C101" s="90">
        <v>8000</v>
      </c>
      <c r="D101" s="90"/>
      <c r="E101" s="90"/>
      <c r="F101" s="90"/>
      <c r="G101" s="95"/>
      <c r="H101" s="109"/>
      <c r="I101" s="95"/>
      <c r="J101" s="111"/>
      <c r="K101" s="111"/>
      <c r="L101" s="111"/>
      <c r="M101" s="111"/>
      <c r="N101" s="111"/>
      <c r="O101" s="152">
        <f t="shared" si="24"/>
        <v>8000</v>
      </c>
      <c r="P101" s="372"/>
      <c r="Q101" s="333"/>
      <c r="R101" s="344"/>
    </row>
    <row r="102" spans="1:18" ht="15">
      <c r="A102" s="150" t="s">
        <v>33</v>
      </c>
      <c r="B102" s="155" t="s">
        <v>119</v>
      </c>
      <c r="C102" s="151">
        <f>SUM(C103:C104)</f>
        <v>9197</v>
      </c>
      <c r="D102" s="151">
        <f>SUM(D103:D104)</f>
        <v>217174</v>
      </c>
      <c r="E102" s="151">
        <f>SUM(E103:E104)</f>
        <v>0</v>
      </c>
      <c r="F102" s="151">
        <f>SUM(F103:F104)</f>
        <v>50887</v>
      </c>
      <c r="G102" s="37">
        <f aca="true" t="shared" si="27" ref="G102:N102">SUM(G103:G104)</f>
        <v>0</v>
      </c>
      <c r="H102" s="37">
        <f t="shared" si="27"/>
        <v>0</v>
      </c>
      <c r="I102" s="37">
        <f t="shared" si="27"/>
        <v>0</v>
      </c>
      <c r="J102" s="151">
        <f t="shared" si="27"/>
        <v>29891</v>
      </c>
      <c r="K102" s="151">
        <f t="shared" si="27"/>
        <v>0</v>
      </c>
      <c r="L102" s="151">
        <f t="shared" si="27"/>
        <v>4906</v>
      </c>
      <c r="M102" s="151">
        <f t="shared" si="27"/>
        <v>0</v>
      </c>
      <c r="N102" s="151">
        <f t="shared" si="27"/>
        <v>9770</v>
      </c>
      <c r="O102" s="152">
        <f t="shared" si="24"/>
        <v>321825</v>
      </c>
      <c r="P102" s="372"/>
      <c r="Q102" s="333"/>
      <c r="R102" s="344"/>
    </row>
    <row r="103" spans="1:18" ht="15">
      <c r="A103" s="153" t="s">
        <v>301</v>
      </c>
      <c r="B103" s="174" t="s">
        <v>181</v>
      </c>
      <c r="C103" s="90"/>
      <c r="D103" s="24">
        <v>16311</v>
      </c>
      <c r="E103" s="24"/>
      <c r="F103" s="90"/>
      <c r="G103" s="109"/>
      <c r="H103" s="109"/>
      <c r="I103" s="109"/>
      <c r="J103" s="108"/>
      <c r="K103" s="108"/>
      <c r="L103" s="108"/>
      <c r="M103" s="108"/>
      <c r="N103" s="111"/>
      <c r="O103" s="152">
        <f t="shared" si="24"/>
        <v>16311</v>
      </c>
      <c r="P103" s="372"/>
      <c r="Q103" s="333"/>
      <c r="R103" s="344"/>
    </row>
    <row r="104" spans="1:18" ht="15">
      <c r="A104" s="177" t="s">
        <v>302</v>
      </c>
      <c r="B104" s="174" t="s">
        <v>120</v>
      </c>
      <c r="C104" s="90">
        <v>9197</v>
      </c>
      <c r="D104" s="24">
        <v>200863</v>
      </c>
      <c r="E104" s="24"/>
      <c r="F104" s="90">
        <v>50887</v>
      </c>
      <c r="G104" s="95"/>
      <c r="H104" s="109"/>
      <c r="I104" s="109"/>
      <c r="J104" s="108">
        <v>29891</v>
      </c>
      <c r="K104" s="108"/>
      <c r="L104" s="108">
        <v>4906</v>
      </c>
      <c r="M104" s="108"/>
      <c r="N104" s="182">
        <v>9770</v>
      </c>
      <c r="O104" s="152">
        <f>SUM(C104:N104)</f>
        <v>305514</v>
      </c>
      <c r="P104" s="372"/>
      <c r="Q104" s="333"/>
      <c r="R104" s="344"/>
    </row>
    <row r="105" spans="1:18" s="70" customFormat="1" ht="29.25">
      <c r="A105" s="150" t="s">
        <v>303</v>
      </c>
      <c r="B105" s="176" t="s">
        <v>304</v>
      </c>
      <c r="C105" s="146">
        <f>SUM(C106:C108)</f>
        <v>1803679</v>
      </c>
      <c r="D105" s="146">
        <f aca="true" t="shared" si="28" ref="D105:N105">SUM(D106:D108)</f>
        <v>0</v>
      </c>
      <c r="E105" s="146">
        <f t="shared" si="28"/>
        <v>0</v>
      </c>
      <c r="F105" s="146">
        <f t="shared" si="28"/>
        <v>0</v>
      </c>
      <c r="G105" s="105">
        <f t="shared" si="28"/>
        <v>0</v>
      </c>
      <c r="H105" s="146">
        <f t="shared" si="28"/>
        <v>0</v>
      </c>
      <c r="I105" s="146">
        <f t="shared" si="28"/>
        <v>0</v>
      </c>
      <c r="J105" s="146">
        <f t="shared" si="28"/>
        <v>0</v>
      </c>
      <c r="K105" s="146">
        <f t="shared" si="28"/>
        <v>0</v>
      </c>
      <c r="L105" s="146">
        <f t="shared" si="28"/>
        <v>0</v>
      </c>
      <c r="M105" s="146">
        <f t="shared" si="28"/>
        <v>0</v>
      </c>
      <c r="N105" s="146">
        <f t="shared" si="28"/>
        <v>0</v>
      </c>
      <c r="O105" s="152">
        <f t="shared" si="24"/>
        <v>1803679</v>
      </c>
      <c r="P105" s="372"/>
      <c r="Q105" s="333"/>
      <c r="R105" s="344"/>
    </row>
    <row r="106" spans="1:18" s="70" customFormat="1" ht="15">
      <c r="A106" s="153" t="s">
        <v>305</v>
      </c>
      <c r="B106" s="89" t="s">
        <v>408</v>
      </c>
      <c r="C106" s="146"/>
      <c r="D106" s="146"/>
      <c r="E106" s="146"/>
      <c r="F106" s="146"/>
      <c r="G106" s="105"/>
      <c r="H106" s="146"/>
      <c r="I106" s="146"/>
      <c r="J106" s="146"/>
      <c r="K106" s="146"/>
      <c r="L106" s="146"/>
      <c r="M106" s="146"/>
      <c r="N106" s="146"/>
      <c r="O106" s="152">
        <f>SUM(C106:N106)</f>
        <v>0</v>
      </c>
      <c r="P106" s="372"/>
      <c r="Q106" s="333"/>
      <c r="R106" s="344"/>
    </row>
    <row r="107" spans="1:18" ht="45">
      <c r="A107" s="153" t="s">
        <v>531</v>
      </c>
      <c r="B107" s="346" t="s">
        <v>532</v>
      </c>
      <c r="C107" s="104">
        <v>1303679</v>
      </c>
      <c r="D107" s="104"/>
      <c r="E107" s="104"/>
      <c r="F107" s="104"/>
      <c r="G107" s="118"/>
      <c r="H107" s="179"/>
      <c r="I107" s="179"/>
      <c r="J107" s="128"/>
      <c r="K107" s="128"/>
      <c r="L107" s="128"/>
      <c r="M107" s="128"/>
      <c r="N107" s="128"/>
      <c r="O107" s="152">
        <f t="shared" si="24"/>
        <v>1303679</v>
      </c>
      <c r="P107" s="372"/>
      <c r="Q107" s="333"/>
      <c r="R107" s="344"/>
    </row>
    <row r="108" spans="1:18" ht="60">
      <c r="A108" s="153" t="s">
        <v>533</v>
      </c>
      <c r="B108" s="355" t="s">
        <v>534</v>
      </c>
      <c r="C108" s="104">
        <v>500000</v>
      </c>
      <c r="D108" s="104"/>
      <c r="E108" s="104"/>
      <c r="F108" s="104"/>
      <c r="G108" s="118"/>
      <c r="H108" s="179"/>
      <c r="I108" s="179"/>
      <c r="J108" s="128"/>
      <c r="K108" s="128"/>
      <c r="L108" s="128"/>
      <c r="M108" s="128"/>
      <c r="N108" s="128"/>
      <c r="O108" s="152">
        <f t="shared" si="24"/>
        <v>500000</v>
      </c>
      <c r="P108" s="372"/>
      <c r="Q108" s="333"/>
      <c r="R108" s="344"/>
    </row>
    <row r="109" spans="1:18" s="70" customFormat="1" ht="30" customHeight="1">
      <c r="A109" s="144" t="s">
        <v>306</v>
      </c>
      <c r="B109" s="176" t="s">
        <v>307</v>
      </c>
      <c r="C109" s="146">
        <f>C110</f>
        <v>10566</v>
      </c>
      <c r="D109" s="146"/>
      <c r="E109" s="146"/>
      <c r="F109" s="146"/>
      <c r="G109" s="105"/>
      <c r="H109" s="146"/>
      <c r="I109" s="146"/>
      <c r="J109" s="146"/>
      <c r="K109" s="146"/>
      <c r="L109" s="146"/>
      <c r="M109" s="146"/>
      <c r="N109" s="146"/>
      <c r="O109" s="152">
        <f t="shared" si="24"/>
        <v>10566</v>
      </c>
      <c r="P109" s="372"/>
      <c r="Q109" s="333"/>
      <c r="R109" s="344"/>
    </row>
    <row r="110" spans="1:18" s="70" customFormat="1" ht="30" customHeight="1" thickBot="1">
      <c r="A110" s="357" t="s">
        <v>611</v>
      </c>
      <c r="B110" s="346" t="s">
        <v>674</v>
      </c>
      <c r="C110" s="122">
        <v>10566</v>
      </c>
      <c r="D110" s="397"/>
      <c r="E110" s="397"/>
      <c r="F110" s="397"/>
      <c r="G110" s="398"/>
      <c r="H110" s="397"/>
      <c r="I110" s="397"/>
      <c r="J110" s="397"/>
      <c r="K110" s="397"/>
      <c r="L110" s="397"/>
      <c r="M110" s="397"/>
      <c r="N110" s="397"/>
      <c r="O110" s="152">
        <f t="shared" si="24"/>
        <v>10566</v>
      </c>
      <c r="P110" s="372"/>
      <c r="Q110" s="333"/>
      <c r="R110" s="344"/>
    </row>
    <row r="111" spans="1:19" ht="30" thickBot="1">
      <c r="A111" s="165" t="s">
        <v>34</v>
      </c>
      <c r="B111" s="175" t="s">
        <v>121</v>
      </c>
      <c r="C111" s="103">
        <f>SUM(C112:C118)</f>
        <v>1309972</v>
      </c>
      <c r="D111" s="103">
        <f>SUM(D112:D118)</f>
        <v>10034174</v>
      </c>
      <c r="E111" s="103">
        <f>SUM(E112:E118)</f>
        <v>0</v>
      </c>
      <c r="F111" s="103">
        <f>SUM(F112:F118)</f>
        <v>268786</v>
      </c>
      <c r="G111" s="81">
        <f aca="true" t="shared" si="29" ref="G111:N111">SUM(G112:G118)</f>
        <v>32873</v>
      </c>
      <c r="H111" s="81">
        <f t="shared" si="29"/>
        <v>219069</v>
      </c>
      <c r="I111" s="81">
        <f t="shared" si="29"/>
        <v>149498</v>
      </c>
      <c r="J111" s="103">
        <f t="shared" si="29"/>
        <v>328876</v>
      </c>
      <c r="K111" s="103">
        <f t="shared" si="29"/>
        <v>30573</v>
      </c>
      <c r="L111" s="103">
        <f t="shared" si="29"/>
        <v>79076</v>
      </c>
      <c r="M111" s="103">
        <f t="shared" si="29"/>
        <v>116741</v>
      </c>
      <c r="N111" s="103">
        <f t="shared" si="29"/>
        <v>86091</v>
      </c>
      <c r="O111" s="82">
        <f t="shared" si="24"/>
        <v>12655729</v>
      </c>
      <c r="P111" s="333"/>
      <c r="Q111" s="333"/>
      <c r="R111" s="344"/>
      <c r="S111" s="83"/>
    </row>
    <row r="112" spans="1:18" ht="15">
      <c r="A112" s="144" t="s">
        <v>381</v>
      </c>
      <c r="B112" s="176" t="s">
        <v>208</v>
      </c>
      <c r="C112" s="146"/>
      <c r="D112" s="105"/>
      <c r="E112" s="86"/>
      <c r="F112" s="104"/>
      <c r="G112" s="118"/>
      <c r="H112" s="209"/>
      <c r="I112" s="118"/>
      <c r="J112" s="107"/>
      <c r="K112" s="107"/>
      <c r="L112" s="107"/>
      <c r="M112" s="107"/>
      <c r="N112" s="128"/>
      <c r="O112" s="166">
        <f t="shared" si="24"/>
        <v>0</v>
      </c>
      <c r="P112" s="333"/>
      <c r="Q112" s="333"/>
      <c r="R112" s="344"/>
    </row>
    <row r="113" spans="1:18" ht="30">
      <c r="A113" s="172" t="s">
        <v>535</v>
      </c>
      <c r="B113" s="354" t="s">
        <v>536</v>
      </c>
      <c r="C113" s="104">
        <v>10000</v>
      </c>
      <c r="D113" s="105"/>
      <c r="E113" s="86"/>
      <c r="F113" s="104"/>
      <c r="G113" s="118"/>
      <c r="I113" s="118"/>
      <c r="J113" s="107"/>
      <c r="K113" s="107"/>
      <c r="L113" s="107"/>
      <c r="M113" s="107"/>
      <c r="N113" s="128"/>
      <c r="O113" s="102">
        <f t="shared" si="24"/>
        <v>10000</v>
      </c>
      <c r="P113" s="333"/>
      <c r="Q113" s="333"/>
      <c r="R113" s="344"/>
    </row>
    <row r="114" spans="1:18" ht="15">
      <c r="A114" s="150" t="s">
        <v>122</v>
      </c>
      <c r="B114" s="155" t="s">
        <v>308</v>
      </c>
      <c r="C114" s="90">
        <f>175082+49793</f>
        <v>224875</v>
      </c>
      <c r="D114" s="37"/>
      <c r="E114" s="24"/>
      <c r="F114" s="90"/>
      <c r="G114" s="109"/>
      <c r="H114" s="109"/>
      <c r="I114" s="109"/>
      <c r="J114" s="108"/>
      <c r="K114" s="108"/>
      <c r="L114" s="108"/>
      <c r="M114" s="108"/>
      <c r="N114" s="111"/>
      <c r="O114" s="152">
        <f t="shared" si="24"/>
        <v>224875</v>
      </c>
      <c r="P114" s="333"/>
      <c r="Q114" s="333"/>
      <c r="R114" s="344"/>
    </row>
    <row r="115" spans="1:18" ht="15">
      <c r="A115" s="150" t="s">
        <v>123</v>
      </c>
      <c r="B115" s="155" t="s">
        <v>124</v>
      </c>
      <c r="C115" s="90"/>
      <c r="D115" s="37">
        <v>112635</v>
      </c>
      <c r="E115" s="24"/>
      <c r="F115" s="90">
        <v>37535</v>
      </c>
      <c r="G115" s="95"/>
      <c r="H115" s="109"/>
      <c r="I115" s="95">
        <v>15200</v>
      </c>
      <c r="J115" s="108">
        <v>48148</v>
      </c>
      <c r="K115" s="108"/>
      <c r="L115" s="108">
        <v>4346</v>
      </c>
      <c r="M115" s="108">
        <f>91297+21175</f>
        <v>112472</v>
      </c>
      <c r="N115" s="111"/>
      <c r="O115" s="152">
        <f t="shared" si="24"/>
        <v>330336</v>
      </c>
      <c r="P115" s="333"/>
      <c r="Q115" s="333"/>
      <c r="R115" s="344"/>
    </row>
    <row r="116" spans="1:18" ht="29.25">
      <c r="A116" s="150" t="s">
        <v>309</v>
      </c>
      <c r="B116" s="155" t="s">
        <v>270</v>
      </c>
      <c r="C116" s="90"/>
      <c r="D116" s="37"/>
      <c r="E116" s="24"/>
      <c r="F116" s="90"/>
      <c r="G116" s="95"/>
      <c r="H116" s="109"/>
      <c r="I116" s="95"/>
      <c r="J116" s="108"/>
      <c r="K116" s="108"/>
      <c r="L116" s="108"/>
      <c r="M116" s="108"/>
      <c r="N116" s="111"/>
      <c r="O116" s="152">
        <f t="shared" si="24"/>
        <v>0</v>
      </c>
      <c r="P116" s="333"/>
      <c r="Q116" s="333"/>
      <c r="R116" s="344"/>
    </row>
    <row r="117" spans="1:18" ht="15">
      <c r="A117" s="150" t="s">
        <v>125</v>
      </c>
      <c r="B117" s="155" t="s">
        <v>126</v>
      </c>
      <c r="C117" s="151">
        <f>273236+2000</f>
        <v>275236</v>
      </c>
      <c r="D117" s="37">
        <v>151805</v>
      </c>
      <c r="E117" s="24"/>
      <c r="F117" s="90"/>
      <c r="G117" s="95">
        <v>4800</v>
      </c>
      <c r="H117" s="95">
        <v>450</v>
      </c>
      <c r="I117" s="109"/>
      <c r="J117" s="108">
        <v>3698</v>
      </c>
      <c r="K117" s="108"/>
      <c r="L117" s="108"/>
      <c r="M117" s="108">
        <v>900</v>
      </c>
      <c r="N117" s="111"/>
      <c r="O117" s="152">
        <f t="shared" si="24"/>
        <v>436889</v>
      </c>
      <c r="P117" s="333"/>
      <c r="Q117" s="333"/>
      <c r="R117" s="344"/>
    </row>
    <row r="118" spans="1:18" ht="43.5">
      <c r="A118" s="150" t="s">
        <v>127</v>
      </c>
      <c r="B118" s="155" t="s">
        <v>128</v>
      </c>
      <c r="C118" s="151">
        <f>SUM(C119:C131)</f>
        <v>799861</v>
      </c>
      <c r="D118" s="151">
        <f aca="true" t="shared" si="30" ref="D118:N118">SUM(D119:D131)</f>
        <v>9769734</v>
      </c>
      <c r="E118" s="151">
        <f t="shared" si="30"/>
        <v>0</v>
      </c>
      <c r="F118" s="151">
        <f t="shared" si="30"/>
        <v>231251</v>
      </c>
      <c r="G118" s="37">
        <f t="shared" si="30"/>
        <v>28073</v>
      </c>
      <c r="H118" s="151">
        <f t="shared" si="30"/>
        <v>218619</v>
      </c>
      <c r="I118" s="151">
        <f t="shared" si="30"/>
        <v>134298</v>
      </c>
      <c r="J118" s="151">
        <f t="shared" si="30"/>
        <v>277030</v>
      </c>
      <c r="K118" s="151">
        <f t="shared" si="30"/>
        <v>30573</v>
      </c>
      <c r="L118" s="151">
        <f t="shared" si="30"/>
        <v>74730</v>
      </c>
      <c r="M118" s="151">
        <f t="shared" si="30"/>
        <v>3369</v>
      </c>
      <c r="N118" s="151">
        <f t="shared" si="30"/>
        <v>86091</v>
      </c>
      <c r="O118" s="152">
        <f t="shared" si="24"/>
        <v>11653629</v>
      </c>
      <c r="P118" s="333"/>
      <c r="Q118" s="333"/>
      <c r="R118" s="344"/>
    </row>
    <row r="119" spans="1:18" ht="15">
      <c r="A119" s="153" t="s">
        <v>310</v>
      </c>
      <c r="B119" s="174" t="s">
        <v>391</v>
      </c>
      <c r="C119" s="90">
        <v>70000</v>
      </c>
      <c r="D119" s="24">
        <v>5529292</v>
      </c>
      <c r="E119" s="24"/>
      <c r="F119" s="90">
        <v>47548</v>
      </c>
      <c r="G119" s="218"/>
      <c r="H119" s="106">
        <v>190049</v>
      </c>
      <c r="I119" s="95">
        <v>6980</v>
      </c>
      <c r="J119" s="108"/>
      <c r="K119" s="108">
        <v>26132</v>
      </c>
      <c r="L119" s="108">
        <v>69893</v>
      </c>
      <c r="M119" s="108"/>
      <c r="N119" s="108">
        <v>86091</v>
      </c>
      <c r="O119" s="152">
        <f t="shared" si="24"/>
        <v>6025985</v>
      </c>
      <c r="P119" s="372"/>
      <c r="Q119" s="333"/>
      <c r="R119" s="344"/>
    </row>
    <row r="120" spans="1:18" ht="15">
      <c r="A120" s="153" t="s">
        <v>311</v>
      </c>
      <c r="B120" s="174" t="s">
        <v>392</v>
      </c>
      <c r="C120" s="90"/>
      <c r="D120" s="24">
        <v>4227889</v>
      </c>
      <c r="E120" s="24"/>
      <c r="F120" s="90">
        <v>183703</v>
      </c>
      <c r="G120" s="218"/>
      <c r="H120" s="109"/>
      <c r="I120" s="95">
        <v>80044</v>
      </c>
      <c r="J120" s="108">
        <v>120514</v>
      </c>
      <c r="K120" s="108"/>
      <c r="L120" s="108"/>
      <c r="M120" s="108"/>
      <c r="N120" s="111"/>
      <c r="O120" s="152">
        <f t="shared" si="24"/>
        <v>4612150</v>
      </c>
      <c r="P120" s="372"/>
      <c r="Q120" s="333"/>
      <c r="R120" s="344"/>
    </row>
    <row r="121" spans="1:18" ht="15">
      <c r="A121" s="153" t="s">
        <v>312</v>
      </c>
      <c r="B121" s="174" t="s">
        <v>393</v>
      </c>
      <c r="C121" s="90">
        <f>50000+10620-8941</f>
        <v>51679</v>
      </c>
      <c r="D121" s="24">
        <v>12553</v>
      </c>
      <c r="E121" s="24"/>
      <c r="F121" s="90"/>
      <c r="G121" s="95">
        <v>9299</v>
      </c>
      <c r="H121" s="109"/>
      <c r="I121" s="109"/>
      <c r="J121" s="108">
        <v>12987</v>
      </c>
      <c r="K121" s="108">
        <v>4441</v>
      </c>
      <c r="L121" s="108">
        <v>4837</v>
      </c>
      <c r="M121" s="108">
        <v>3369</v>
      </c>
      <c r="N121" s="111"/>
      <c r="O121" s="152">
        <f t="shared" si="24"/>
        <v>99165</v>
      </c>
      <c r="P121" s="372"/>
      <c r="Q121" s="333"/>
      <c r="R121" s="344"/>
    </row>
    <row r="122" spans="1:18" ht="60">
      <c r="A122" s="153" t="s">
        <v>455</v>
      </c>
      <c r="B122" s="178" t="s">
        <v>537</v>
      </c>
      <c r="C122" s="104"/>
      <c r="D122" s="24"/>
      <c r="E122" s="24"/>
      <c r="F122" s="90"/>
      <c r="G122" s="95"/>
      <c r="H122" s="109"/>
      <c r="I122" s="109"/>
      <c r="J122" s="108"/>
      <c r="K122" s="108"/>
      <c r="L122" s="108"/>
      <c r="M122" s="108"/>
      <c r="N122" s="111"/>
      <c r="O122" s="152">
        <f t="shared" si="24"/>
        <v>0</v>
      </c>
      <c r="P122" s="372"/>
      <c r="Q122" s="333"/>
      <c r="R122" s="344"/>
    </row>
    <row r="123" spans="1:18" ht="15">
      <c r="A123" s="153" t="s">
        <v>313</v>
      </c>
      <c r="B123" s="174" t="s">
        <v>438</v>
      </c>
      <c r="C123" s="104">
        <v>43300</v>
      </c>
      <c r="D123" s="24"/>
      <c r="E123" s="24"/>
      <c r="F123" s="90"/>
      <c r="G123" s="109"/>
      <c r="H123" s="109"/>
      <c r="I123" s="109"/>
      <c r="J123" s="108"/>
      <c r="K123" s="108"/>
      <c r="L123" s="108"/>
      <c r="M123" s="108"/>
      <c r="N123" s="111"/>
      <c r="O123" s="152">
        <f t="shared" si="24"/>
        <v>43300</v>
      </c>
      <c r="P123" s="372"/>
      <c r="Q123" s="333"/>
      <c r="R123" s="344"/>
    </row>
    <row r="124" spans="1:18" ht="30">
      <c r="A124" s="153" t="s">
        <v>314</v>
      </c>
      <c r="B124" s="173" t="s">
        <v>409</v>
      </c>
      <c r="C124" s="104">
        <v>40000</v>
      </c>
      <c r="D124" s="24"/>
      <c r="E124" s="24"/>
      <c r="F124" s="90"/>
      <c r="G124" s="95">
        <v>4498</v>
      </c>
      <c r="H124" s="109"/>
      <c r="I124" s="95">
        <v>1500</v>
      </c>
      <c r="J124" s="108">
        <v>3742</v>
      </c>
      <c r="K124" s="108"/>
      <c r="L124" s="108"/>
      <c r="M124" s="108"/>
      <c r="N124" s="111"/>
      <c r="O124" s="152">
        <f>SUM(C124:N124)</f>
        <v>49740</v>
      </c>
      <c r="P124" s="372"/>
      <c r="Q124" s="333"/>
      <c r="R124" s="344"/>
    </row>
    <row r="125" spans="1:18" ht="15">
      <c r="A125" s="153" t="s">
        <v>315</v>
      </c>
      <c r="B125" s="180" t="s">
        <v>209</v>
      </c>
      <c r="C125" s="90">
        <v>35000</v>
      </c>
      <c r="D125" s="90"/>
      <c r="E125" s="90"/>
      <c r="F125" s="90"/>
      <c r="G125" s="95">
        <f>14761-485</f>
        <v>14276</v>
      </c>
      <c r="H125" s="109"/>
      <c r="I125" s="95">
        <v>45774</v>
      </c>
      <c r="J125" s="108"/>
      <c r="K125" s="108"/>
      <c r="L125" s="108"/>
      <c r="M125" s="108"/>
      <c r="N125" s="111"/>
      <c r="O125" s="152">
        <f aca="true" t="shared" si="31" ref="O125:O188">SUM(C125:N125)</f>
        <v>95050</v>
      </c>
      <c r="P125" s="372"/>
      <c r="Q125" s="333"/>
      <c r="R125" s="344"/>
    </row>
    <row r="126" spans="1:18" ht="15">
      <c r="A126" s="153" t="s">
        <v>316</v>
      </c>
      <c r="B126" s="174" t="s">
        <v>182</v>
      </c>
      <c r="C126" s="24">
        <v>3000</v>
      </c>
      <c r="D126" s="24"/>
      <c r="E126" s="24"/>
      <c r="F126" s="90"/>
      <c r="G126" s="109"/>
      <c r="H126" s="109"/>
      <c r="I126" s="109"/>
      <c r="J126" s="108"/>
      <c r="K126" s="108"/>
      <c r="L126" s="108"/>
      <c r="M126" s="108"/>
      <c r="N126" s="111"/>
      <c r="O126" s="152">
        <f t="shared" si="31"/>
        <v>3000</v>
      </c>
      <c r="P126" s="372"/>
      <c r="Q126" s="333"/>
      <c r="R126" s="344"/>
    </row>
    <row r="127" spans="1:18" ht="15">
      <c r="A127" s="153" t="s">
        <v>317</v>
      </c>
      <c r="B127" s="356" t="s">
        <v>318</v>
      </c>
      <c r="C127" s="24"/>
      <c r="D127" s="24"/>
      <c r="E127" s="24"/>
      <c r="F127" s="24"/>
      <c r="G127" s="109"/>
      <c r="H127" s="95">
        <f>28520+50</f>
        <v>28570</v>
      </c>
      <c r="I127" s="109"/>
      <c r="J127" s="231">
        <v>139787</v>
      </c>
      <c r="K127" s="108"/>
      <c r="L127" s="108"/>
      <c r="M127" s="108"/>
      <c r="N127" s="182"/>
      <c r="O127" s="152">
        <f t="shared" si="31"/>
        <v>168357</v>
      </c>
      <c r="P127" s="372"/>
      <c r="Q127" s="333"/>
      <c r="R127" s="344"/>
    </row>
    <row r="128" spans="1:18" ht="44.25" customHeight="1">
      <c r="A128" s="153" t="s">
        <v>397</v>
      </c>
      <c r="B128" s="178" t="s">
        <v>538</v>
      </c>
      <c r="C128" s="24">
        <v>435759</v>
      </c>
      <c r="D128" s="24"/>
      <c r="E128" s="24"/>
      <c r="F128" s="24"/>
      <c r="G128" s="109"/>
      <c r="H128" s="95"/>
      <c r="I128" s="109"/>
      <c r="J128" s="231"/>
      <c r="K128" s="108"/>
      <c r="L128" s="108"/>
      <c r="M128" s="108"/>
      <c r="N128" s="182"/>
      <c r="O128" s="152">
        <f t="shared" si="31"/>
        <v>435759</v>
      </c>
      <c r="P128" s="372"/>
      <c r="Q128" s="333"/>
      <c r="R128" s="344"/>
    </row>
    <row r="129" spans="1:18" ht="17.25" customHeight="1">
      <c r="A129" s="172" t="s">
        <v>439</v>
      </c>
      <c r="B129" s="174" t="s">
        <v>539</v>
      </c>
      <c r="C129" s="24">
        <f>11500+6979</f>
        <v>18479</v>
      </c>
      <c r="D129" s="24"/>
      <c r="E129" s="24"/>
      <c r="F129" s="24"/>
      <c r="G129" s="109"/>
      <c r="H129" s="109"/>
      <c r="I129" s="109"/>
      <c r="J129" s="231"/>
      <c r="K129" s="108"/>
      <c r="L129" s="108"/>
      <c r="M129" s="108"/>
      <c r="N129" s="108"/>
      <c r="O129" s="152">
        <f t="shared" si="31"/>
        <v>18479</v>
      </c>
      <c r="P129" s="372"/>
      <c r="Q129" s="333"/>
      <c r="R129" s="344"/>
    </row>
    <row r="130" spans="1:18" ht="27.75" customHeight="1">
      <c r="A130" s="172" t="s">
        <v>441</v>
      </c>
      <c r="B130" s="174" t="s">
        <v>540</v>
      </c>
      <c r="C130" s="24"/>
      <c r="D130" s="24"/>
      <c r="E130" s="24"/>
      <c r="F130" s="24"/>
      <c r="G130" s="109"/>
      <c r="H130" s="109"/>
      <c r="I130" s="109"/>
      <c r="J130" s="231"/>
      <c r="K130" s="108"/>
      <c r="L130" s="108"/>
      <c r="M130" s="108"/>
      <c r="N130" s="108"/>
      <c r="O130" s="152">
        <f t="shared" si="31"/>
        <v>0</v>
      </c>
      <c r="P130" s="372"/>
      <c r="Q130" s="333"/>
      <c r="R130" s="344"/>
    </row>
    <row r="131" spans="1:18" ht="21" customHeight="1" thickBot="1">
      <c r="A131" s="357" t="s">
        <v>541</v>
      </c>
      <c r="B131" s="178" t="s">
        <v>542</v>
      </c>
      <c r="C131" s="98">
        <f>88859+13785</f>
        <v>102644</v>
      </c>
      <c r="D131" s="98"/>
      <c r="E131" s="98"/>
      <c r="F131" s="98"/>
      <c r="G131" s="100"/>
      <c r="H131" s="100"/>
      <c r="I131" s="100"/>
      <c r="J131" s="230"/>
      <c r="K131" s="101"/>
      <c r="L131" s="101"/>
      <c r="M131" s="101"/>
      <c r="N131" s="101"/>
      <c r="O131" s="358">
        <f t="shared" si="31"/>
        <v>102644</v>
      </c>
      <c r="P131" s="372"/>
      <c r="Q131" s="333"/>
      <c r="R131" s="344"/>
    </row>
    <row r="132" spans="1:18" ht="15.75" thickBot="1">
      <c r="A132" s="165" t="s">
        <v>35</v>
      </c>
      <c r="B132" s="80" t="s">
        <v>129</v>
      </c>
      <c r="C132" s="103">
        <f aca="true" t="shared" si="32" ref="C132:N132">SUM(C133)</f>
        <v>0</v>
      </c>
      <c r="D132" s="103">
        <f t="shared" si="32"/>
        <v>0</v>
      </c>
      <c r="E132" s="103">
        <f t="shared" si="32"/>
        <v>0</v>
      </c>
      <c r="F132" s="103">
        <f t="shared" si="32"/>
        <v>0</v>
      </c>
      <c r="G132" s="103">
        <f t="shared" si="32"/>
        <v>1954</v>
      </c>
      <c r="H132" s="103">
        <f t="shared" si="32"/>
        <v>0</v>
      </c>
      <c r="I132" s="103">
        <f t="shared" si="32"/>
        <v>0</v>
      </c>
      <c r="J132" s="103">
        <f t="shared" si="32"/>
        <v>0</v>
      </c>
      <c r="K132" s="103">
        <f t="shared" si="32"/>
        <v>3181</v>
      </c>
      <c r="L132" s="103">
        <f t="shared" si="32"/>
        <v>27141</v>
      </c>
      <c r="M132" s="103">
        <f t="shared" si="32"/>
        <v>600</v>
      </c>
      <c r="N132" s="103">
        <f t="shared" si="32"/>
        <v>1644</v>
      </c>
      <c r="O132" s="82">
        <f>SUM(C132:N132)</f>
        <v>34520</v>
      </c>
      <c r="P132" s="333"/>
      <c r="Q132" s="333"/>
      <c r="R132" s="344"/>
    </row>
    <row r="133" spans="1:18" s="70" customFormat="1" ht="15">
      <c r="A133" s="144" t="s">
        <v>130</v>
      </c>
      <c r="B133" s="145" t="s">
        <v>131</v>
      </c>
      <c r="C133" s="146">
        <f aca="true" t="shared" si="33" ref="C133:N133">SUM(C134:C135)</f>
        <v>0</v>
      </c>
      <c r="D133" s="146">
        <f t="shared" si="33"/>
        <v>0</v>
      </c>
      <c r="E133" s="146">
        <f t="shared" si="33"/>
        <v>0</v>
      </c>
      <c r="F133" s="146">
        <f t="shared" si="33"/>
        <v>0</v>
      </c>
      <c r="G133" s="105">
        <f t="shared" si="33"/>
        <v>1954</v>
      </c>
      <c r="H133" s="146">
        <f t="shared" si="33"/>
        <v>0</v>
      </c>
      <c r="I133" s="146">
        <f t="shared" si="33"/>
        <v>0</v>
      </c>
      <c r="J133" s="146">
        <f t="shared" si="33"/>
        <v>0</v>
      </c>
      <c r="K133" s="146">
        <f t="shared" si="33"/>
        <v>3181</v>
      </c>
      <c r="L133" s="146">
        <f t="shared" si="33"/>
        <v>27141</v>
      </c>
      <c r="M133" s="146">
        <f t="shared" si="33"/>
        <v>600</v>
      </c>
      <c r="N133" s="146">
        <f t="shared" si="33"/>
        <v>1644</v>
      </c>
      <c r="O133" s="87">
        <f>SUM(C133:N133)</f>
        <v>34520</v>
      </c>
      <c r="P133" s="372"/>
      <c r="Q133" s="333"/>
      <c r="R133" s="344"/>
    </row>
    <row r="134" spans="1:18" ht="15">
      <c r="A134" s="153" t="s">
        <v>319</v>
      </c>
      <c r="B134" s="89" t="s">
        <v>543</v>
      </c>
      <c r="C134" s="90"/>
      <c r="D134" s="24"/>
      <c r="E134" s="24"/>
      <c r="F134" s="90"/>
      <c r="G134" s="109"/>
      <c r="H134" s="109"/>
      <c r="I134" s="109"/>
      <c r="J134" s="108"/>
      <c r="K134" s="108"/>
      <c r="L134" s="108"/>
      <c r="M134" s="108"/>
      <c r="N134" s="111"/>
      <c r="O134" s="152">
        <f t="shared" si="31"/>
        <v>0</v>
      </c>
      <c r="P134" s="372"/>
      <c r="Q134" s="333"/>
      <c r="R134" s="344"/>
    </row>
    <row r="135" spans="1:18" ht="15.75" thickBot="1">
      <c r="A135" s="153" t="s">
        <v>320</v>
      </c>
      <c r="B135" s="89" t="s">
        <v>210</v>
      </c>
      <c r="C135" s="90"/>
      <c r="D135" s="24"/>
      <c r="E135" s="24"/>
      <c r="F135" s="90"/>
      <c r="G135" s="95">
        <v>1954</v>
      </c>
      <c r="H135" s="109"/>
      <c r="I135" s="109"/>
      <c r="J135" s="108"/>
      <c r="K135" s="108">
        <v>3181</v>
      </c>
      <c r="L135" s="108">
        <v>27141</v>
      </c>
      <c r="M135" s="108">
        <v>600</v>
      </c>
      <c r="N135" s="111">
        <v>1644</v>
      </c>
      <c r="O135" s="152">
        <f t="shared" si="31"/>
        <v>34520</v>
      </c>
      <c r="P135" s="372"/>
      <c r="Q135" s="333"/>
      <c r="R135" s="344"/>
    </row>
    <row r="136" spans="1:18" ht="15.75" thickBot="1">
      <c r="A136" s="165" t="s">
        <v>37</v>
      </c>
      <c r="B136" s="80" t="s">
        <v>132</v>
      </c>
      <c r="C136" s="103">
        <f aca="true" t="shared" si="34" ref="C136:N136">C137+C142+C158+C159</f>
        <v>1988466</v>
      </c>
      <c r="D136" s="103">
        <f t="shared" si="34"/>
        <v>267775</v>
      </c>
      <c r="E136" s="103">
        <f t="shared" si="34"/>
        <v>1359930</v>
      </c>
      <c r="F136" s="103">
        <f t="shared" si="34"/>
        <v>0</v>
      </c>
      <c r="G136" s="103">
        <f t="shared" si="34"/>
        <v>240630</v>
      </c>
      <c r="H136" s="103">
        <f t="shared" si="34"/>
        <v>61617</v>
      </c>
      <c r="I136" s="103">
        <f t="shared" si="34"/>
        <v>133943</v>
      </c>
      <c r="J136" s="103">
        <f t="shared" si="34"/>
        <v>173192</v>
      </c>
      <c r="K136" s="103">
        <f t="shared" si="34"/>
        <v>27784</v>
      </c>
      <c r="L136" s="103">
        <f t="shared" si="34"/>
        <v>30566</v>
      </c>
      <c r="M136" s="103">
        <f t="shared" si="34"/>
        <v>86084</v>
      </c>
      <c r="N136" s="103">
        <f t="shared" si="34"/>
        <v>53325</v>
      </c>
      <c r="O136" s="82">
        <f t="shared" si="31"/>
        <v>4423312</v>
      </c>
      <c r="P136" s="333"/>
      <c r="Q136" s="333"/>
      <c r="R136" s="344"/>
    </row>
    <row r="137" spans="1:18" ht="15">
      <c r="A137" s="144" t="s">
        <v>133</v>
      </c>
      <c r="B137" s="145" t="s">
        <v>134</v>
      </c>
      <c r="C137" s="146">
        <f>SUM(C138:C141)</f>
        <v>420444</v>
      </c>
      <c r="D137" s="146">
        <f>SUM(D138:D141)</f>
        <v>266252</v>
      </c>
      <c r="E137" s="146">
        <f aca="true" t="shared" si="35" ref="E137:N137">SUM(E138:E141)</f>
        <v>0</v>
      </c>
      <c r="F137" s="146">
        <f t="shared" si="35"/>
        <v>0</v>
      </c>
      <c r="G137" s="146">
        <f t="shared" si="35"/>
        <v>6958</v>
      </c>
      <c r="H137" s="146">
        <f t="shared" si="35"/>
        <v>0</v>
      </c>
      <c r="I137" s="146">
        <f t="shared" si="35"/>
        <v>0</v>
      </c>
      <c r="J137" s="146">
        <f t="shared" si="35"/>
        <v>5664</v>
      </c>
      <c r="K137" s="146">
        <f t="shared" si="35"/>
        <v>0</v>
      </c>
      <c r="L137" s="146">
        <f t="shared" si="35"/>
        <v>0</v>
      </c>
      <c r="M137" s="146">
        <f t="shared" si="35"/>
        <v>8026</v>
      </c>
      <c r="N137" s="146">
        <f t="shared" si="35"/>
        <v>0</v>
      </c>
      <c r="O137" s="149">
        <f t="shared" si="31"/>
        <v>707344</v>
      </c>
      <c r="P137" s="372"/>
      <c r="Q137" s="333"/>
      <c r="R137" s="344"/>
    </row>
    <row r="138" spans="1:18" ht="15">
      <c r="A138" s="153" t="s">
        <v>321</v>
      </c>
      <c r="B138" s="89" t="s">
        <v>135</v>
      </c>
      <c r="C138" s="90">
        <v>51685</v>
      </c>
      <c r="D138" s="24"/>
      <c r="E138" s="24"/>
      <c r="F138" s="90"/>
      <c r="G138" s="95"/>
      <c r="H138" s="109"/>
      <c r="I138" s="109"/>
      <c r="J138" s="108">
        <v>5664</v>
      </c>
      <c r="K138" s="108"/>
      <c r="L138" s="108"/>
      <c r="M138" s="108">
        <v>8026</v>
      </c>
      <c r="N138" s="111"/>
      <c r="O138" s="152">
        <f t="shared" si="31"/>
        <v>65375</v>
      </c>
      <c r="P138" s="372"/>
      <c r="Q138" s="333"/>
      <c r="R138" s="344"/>
    </row>
    <row r="139" spans="1:18" ht="30">
      <c r="A139" s="153" t="s">
        <v>322</v>
      </c>
      <c r="B139" s="89" t="s">
        <v>136</v>
      </c>
      <c r="C139" s="90">
        <f>206160+9000</f>
        <v>215160</v>
      </c>
      <c r="D139" s="24"/>
      <c r="E139" s="24"/>
      <c r="F139" s="90"/>
      <c r="G139" s="95">
        <v>6958</v>
      </c>
      <c r="H139" s="109"/>
      <c r="I139" s="109"/>
      <c r="J139" s="108"/>
      <c r="K139" s="108"/>
      <c r="L139" s="108"/>
      <c r="M139" s="108"/>
      <c r="N139" s="111"/>
      <c r="O139" s="152">
        <f>SUM(C139:N139)</f>
        <v>222118</v>
      </c>
      <c r="P139" s="372"/>
      <c r="Q139" s="333"/>
      <c r="R139" s="344"/>
    </row>
    <row r="140" spans="1:18" ht="31.5" customHeight="1">
      <c r="A140" s="153" t="s">
        <v>442</v>
      </c>
      <c r="B140" s="346" t="s">
        <v>544</v>
      </c>
      <c r="C140" s="90">
        <v>153599</v>
      </c>
      <c r="D140" s="24"/>
      <c r="E140" s="24"/>
      <c r="F140" s="90"/>
      <c r="G140" s="95"/>
      <c r="H140" s="109"/>
      <c r="I140" s="109"/>
      <c r="J140" s="108"/>
      <c r="K140" s="108"/>
      <c r="L140" s="108"/>
      <c r="M140" s="108"/>
      <c r="N140" s="111"/>
      <c r="O140" s="152">
        <f>SUM(C140:N140)</f>
        <v>153599</v>
      </c>
      <c r="P140" s="372"/>
      <c r="Q140" s="333"/>
      <c r="R140" s="344"/>
    </row>
    <row r="141" spans="1:18" ht="15">
      <c r="A141" s="153" t="s">
        <v>545</v>
      </c>
      <c r="B141" s="89" t="s">
        <v>546</v>
      </c>
      <c r="C141" s="90"/>
      <c r="D141" s="90">
        <v>266252</v>
      </c>
      <c r="E141" s="90"/>
      <c r="F141" s="90"/>
      <c r="G141" s="95"/>
      <c r="H141" s="187"/>
      <c r="I141" s="187"/>
      <c r="J141" s="111"/>
      <c r="K141" s="111"/>
      <c r="L141" s="111"/>
      <c r="M141" s="111"/>
      <c r="N141" s="111"/>
      <c r="O141" s="152">
        <f>SUM(C141:N141)</f>
        <v>266252</v>
      </c>
      <c r="P141" s="372"/>
      <c r="Q141" s="333"/>
      <c r="R141" s="344"/>
    </row>
    <row r="142" spans="1:18" ht="15">
      <c r="A142" s="150" t="s">
        <v>137</v>
      </c>
      <c r="B142" s="359" t="s">
        <v>36</v>
      </c>
      <c r="C142" s="151">
        <f>SUM(C143:C150)</f>
        <v>1423374</v>
      </c>
      <c r="D142" s="151">
        <f aca="true" t="shared" si="36" ref="D142:L142">SUM(D143:D150)</f>
        <v>1523</v>
      </c>
      <c r="E142" s="151">
        <f t="shared" si="36"/>
        <v>1359930</v>
      </c>
      <c r="F142" s="151">
        <f t="shared" si="36"/>
        <v>0</v>
      </c>
      <c r="G142" s="37">
        <f>SUM(G143:G150)</f>
        <v>233672</v>
      </c>
      <c r="H142" s="151">
        <f t="shared" si="36"/>
        <v>61617</v>
      </c>
      <c r="I142" s="151">
        <f t="shared" si="36"/>
        <v>130885</v>
      </c>
      <c r="J142" s="151">
        <f t="shared" si="36"/>
        <v>163749</v>
      </c>
      <c r="K142" s="151">
        <f t="shared" si="36"/>
        <v>27784</v>
      </c>
      <c r="L142" s="151">
        <f t="shared" si="36"/>
        <v>30566</v>
      </c>
      <c r="M142" s="151">
        <f>SUM(M143:M150)</f>
        <v>78058</v>
      </c>
      <c r="N142" s="151">
        <f>SUM(N143:N150)</f>
        <v>53325</v>
      </c>
      <c r="O142" s="152">
        <f t="shared" si="31"/>
        <v>3564483</v>
      </c>
      <c r="P142" s="372"/>
      <c r="Q142" s="333"/>
      <c r="R142" s="344"/>
    </row>
    <row r="143" spans="1:18" ht="15">
      <c r="A143" s="153" t="s">
        <v>138</v>
      </c>
      <c r="B143" s="89" t="s">
        <v>211</v>
      </c>
      <c r="C143" s="90">
        <v>351451</v>
      </c>
      <c r="D143" s="24"/>
      <c r="E143" s="24"/>
      <c r="F143" s="90"/>
      <c r="G143" s="218">
        <v>31196</v>
      </c>
      <c r="H143" s="95">
        <v>19478</v>
      </c>
      <c r="I143" s="95">
        <v>13318</v>
      </c>
      <c r="J143" s="108">
        <v>30280</v>
      </c>
      <c r="K143" s="108">
        <v>14492</v>
      </c>
      <c r="L143" s="108">
        <v>12443</v>
      </c>
      <c r="M143" s="108">
        <v>16202</v>
      </c>
      <c r="N143" s="156">
        <v>15558</v>
      </c>
      <c r="O143" s="152">
        <f t="shared" si="31"/>
        <v>504418</v>
      </c>
      <c r="P143" s="372"/>
      <c r="Q143" s="333"/>
      <c r="R143" s="344"/>
    </row>
    <row r="144" spans="1:18" ht="15">
      <c r="A144" s="153" t="s">
        <v>139</v>
      </c>
      <c r="B144" s="89" t="s">
        <v>183</v>
      </c>
      <c r="C144" s="90"/>
      <c r="D144" s="24"/>
      <c r="E144" s="24"/>
      <c r="F144" s="90"/>
      <c r="G144" s="109"/>
      <c r="H144" s="109"/>
      <c r="I144" s="95"/>
      <c r="J144" s="108"/>
      <c r="K144" s="108"/>
      <c r="L144" s="108"/>
      <c r="M144" s="108">
        <v>2050</v>
      </c>
      <c r="N144" s="156"/>
      <c r="O144" s="152">
        <f t="shared" si="31"/>
        <v>2050</v>
      </c>
      <c r="P144" s="372"/>
      <c r="Q144" s="333"/>
      <c r="R144" s="344"/>
    </row>
    <row r="145" spans="1:18" ht="15">
      <c r="A145" s="153" t="s">
        <v>323</v>
      </c>
      <c r="B145" s="89" t="s">
        <v>184</v>
      </c>
      <c r="C145" s="90">
        <v>660</v>
      </c>
      <c r="D145" s="24"/>
      <c r="E145" s="24"/>
      <c r="F145" s="90"/>
      <c r="G145" s="109"/>
      <c r="H145" s="109"/>
      <c r="I145" s="95"/>
      <c r="J145" s="108"/>
      <c r="K145" s="108"/>
      <c r="L145" s="108"/>
      <c r="M145" s="108"/>
      <c r="N145" s="156"/>
      <c r="O145" s="152">
        <f t="shared" si="31"/>
        <v>660</v>
      </c>
      <c r="P145" s="372"/>
      <c r="Q145" s="333"/>
      <c r="R145" s="344"/>
    </row>
    <row r="146" spans="1:18" ht="15">
      <c r="A146" s="153" t="s">
        <v>324</v>
      </c>
      <c r="B146" s="89" t="s">
        <v>394</v>
      </c>
      <c r="C146" s="90">
        <f>224642+350000+15000</f>
        <v>589642</v>
      </c>
      <c r="D146" s="24"/>
      <c r="E146" s="24"/>
      <c r="F146" s="90"/>
      <c r="G146" s="109"/>
      <c r="H146" s="109"/>
      <c r="I146" s="95"/>
      <c r="J146" s="108"/>
      <c r="K146" s="108"/>
      <c r="L146" s="108"/>
      <c r="M146" s="108"/>
      <c r="N146" s="156"/>
      <c r="O146" s="152">
        <f t="shared" si="31"/>
        <v>589642</v>
      </c>
      <c r="P146" s="372"/>
      <c r="Q146" s="333"/>
      <c r="R146" s="344"/>
    </row>
    <row r="147" spans="1:18" ht="30">
      <c r="A147" s="153" t="s">
        <v>547</v>
      </c>
      <c r="B147" s="174" t="s">
        <v>548</v>
      </c>
      <c r="C147" s="90">
        <v>426127</v>
      </c>
      <c r="D147" s="24"/>
      <c r="E147" s="24"/>
      <c r="F147" s="90"/>
      <c r="G147" s="109"/>
      <c r="H147" s="109"/>
      <c r="I147" s="95"/>
      <c r="J147" s="108"/>
      <c r="K147" s="108"/>
      <c r="L147" s="108"/>
      <c r="M147" s="108"/>
      <c r="N147" s="156"/>
      <c r="O147" s="152">
        <f t="shared" si="31"/>
        <v>426127</v>
      </c>
      <c r="P147" s="372"/>
      <c r="Q147" s="333"/>
      <c r="R147" s="344"/>
    </row>
    <row r="148" spans="1:18" ht="15">
      <c r="A148" s="153" t="s">
        <v>140</v>
      </c>
      <c r="B148" s="89" t="s">
        <v>325</v>
      </c>
      <c r="C148" s="90"/>
      <c r="D148" s="24"/>
      <c r="E148" s="24">
        <v>286509</v>
      </c>
      <c r="F148" s="90"/>
      <c r="G148" s="218">
        <v>202476</v>
      </c>
      <c r="H148" s="95">
        <v>40739</v>
      </c>
      <c r="I148" s="95">
        <v>91387</v>
      </c>
      <c r="J148" s="108">
        <v>129314</v>
      </c>
      <c r="K148" s="108">
        <v>13292</v>
      </c>
      <c r="L148" s="108">
        <v>17273</v>
      </c>
      <c r="M148" s="108">
        <v>58857</v>
      </c>
      <c r="N148" s="154">
        <v>27267</v>
      </c>
      <c r="O148" s="152">
        <f t="shared" si="31"/>
        <v>867114</v>
      </c>
      <c r="P148" s="372"/>
      <c r="Q148" s="333"/>
      <c r="R148" s="344"/>
    </row>
    <row r="149" spans="1:18" ht="15">
      <c r="A149" s="153" t="s">
        <v>140</v>
      </c>
      <c r="B149" s="89" t="s">
        <v>185</v>
      </c>
      <c r="C149" s="90"/>
      <c r="D149" s="24"/>
      <c r="E149" s="24">
        <f>1067999+5422-1900</f>
        <v>1071521</v>
      </c>
      <c r="F149" s="90"/>
      <c r="G149" s="109"/>
      <c r="H149" s="109"/>
      <c r="I149" s="109"/>
      <c r="J149" s="108"/>
      <c r="K149" s="108"/>
      <c r="L149" s="108"/>
      <c r="M149" s="108"/>
      <c r="N149" s="111"/>
      <c r="O149" s="152">
        <f t="shared" si="31"/>
        <v>1071521</v>
      </c>
      <c r="P149" s="372"/>
      <c r="Q149" s="333"/>
      <c r="R149" s="344"/>
    </row>
    <row r="150" spans="1:18" s="70" customFormat="1" ht="15">
      <c r="A150" s="150" t="s">
        <v>141</v>
      </c>
      <c r="B150" s="120" t="s">
        <v>326</v>
      </c>
      <c r="C150" s="183">
        <f aca="true" t="shared" si="37" ref="C150:N150">SUM(C151:C157)</f>
        <v>55494</v>
      </c>
      <c r="D150" s="183">
        <f t="shared" si="37"/>
        <v>1523</v>
      </c>
      <c r="E150" s="183">
        <f t="shared" si="37"/>
        <v>1900</v>
      </c>
      <c r="F150" s="360">
        <f t="shared" si="37"/>
        <v>0</v>
      </c>
      <c r="G150" s="183">
        <f t="shared" si="37"/>
        <v>0</v>
      </c>
      <c r="H150" s="183">
        <f t="shared" si="37"/>
        <v>1400</v>
      </c>
      <c r="I150" s="183">
        <f t="shared" si="37"/>
        <v>26180</v>
      </c>
      <c r="J150" s="183">
        <f t="shared" si="37"/>
        <v>4155</v>
      </c>
      <c r="K150" s="183">
        <f t="shared" si="37"/>
        <v>0</v>
      </c>
      <c r="L150" s="183">
        <f t="shared" si="37"/>
        <v>850</v>
      </c>
      <c r="M150" s="183">
        <f t="shared" si="37"/>
        <v>949</v>
      </c>
      <c r="N150" s="183">
        <f t="shared" si="37"/>
        <v>10500</v>
      </c>
      <c r="O150" s="152">
        <f t="shared" si="31"/>
        <v>102951</v>
      </c>
      <c r="P150" s="372"/>
      <c r="Q150" s="333"/>
      <c r="R150" s="344"/>
    </row>
    <row r="151" spans="1:18" ht="15">
      <c r="A151" s="153" t="s">
        <v>327</v>
      </c>
      <c r="B151" s="174" t="s">
        <v>186</v>
      </c>
      <c r="C151" s="90"/>
      <c r="D151" s="24"/>
      <c r="E151" s="24"/>
      <c r="F151" s="90"/>
      <c r="G151" s="95"/>
      <c r="H151" s="109"/>
      <c r="I151" s="95"/>
      <c r="J151" s="108"/>
      <c r="K151" s="108"/>
      <c r="L151" s="108"/>
      <c r="M151" s="108"/>
      <c r="N151" s="111">
        <v>7500</v>
      </c>
      <c r="O151" s="152">
        <f t="shared" si="31"/>
        <v>7500</v>
      </c>
      <c r="P151" s="372"/>
      <c r="Q151" s="333"/>
      <c r="R151" s="344"/>
    </row>
    <row r="152" spans="1:18" ht="15">
      <c r="A152" s="153" t="s">
        <v>328</v>
      </c>
      <c r="B152" s="174" t="s">
        <v>187</v>
      </c>
      <c r="C152" s="90">
        <v>24100</v>
      </c>
      <c r="D152" s="24"/>
      <c r="E152" s="24"/>
      <c r="F152" s="90"/>
      <c r="G152" s="109"/>
      <c r="H152" s="109"/>
      <c r="I152" s="109"/>
      <c r="J152" s="108"/>
      <c r="K152" s="108"/>
      <c r="L152" s="108"/>
      <c r="M152" s="108"/>
      <c r="N152" s="111"/>
      <c r="O152" s="152">
        <f t="shared" si="31"/>
        <v>24100</v>
      </c>
      <c r="P152" s="372"/>
      <c r="Q152" s="333"/>
      <c r="R152" s="344"/>
    </row>
    <row r="153" spans="1:18" ht="15">
      <c r="A153" s="153" t="s">
        <v>329</v>
      </c>
      <c r="B153" s="180" t="s">
        <v>188</v>
      </c>
      <c r="C153" s="90">
        <v>500</v>
      </c>
      <c r="D153" s="24"/>
      <c r="E153" s="24"/>
      <c r="F153" s="90"/>
      <c r="G153" s="109"/>
      <c r="H153" s="109"/>
      <c r="I153" s="109"/>
      <c r="J153" s="108"/>
      <c r="K153" s="108"/>
      <c r="L153" s="108"/>
      <c r="M153" s="108"/>
      <c r="N153" s="111"/>
      <c r="O153" s="152">
        <f t="shared" si="31"/>
        <v>500</v>
      </c>
      <c r="P153" s="372"/>
      <c r="Q153" s="333"/>
      <c r="R153" s="344"/>
    </row>
    <row r="154" spans="1:18" ht="15">
      <c r="A154" s="153" t="s">
        <v>443</v>
      </c>
      <c r="B154" s="180" t="s">
        <v>444</v>
      </c>
      <c r="C154" s="90"/>
      <c r="D154" s="24"/>
      <c r="E154" s="24"/>
      <c r="F154" s="90"/>
      <c r="G154" s="109"/>
      <c r="H154" s="109"/>
      <c r="I154" s="109"/>
      <c r="J154" s="108"/>
      <c r="K154" s="108"/>
      <c r="L154" s="108"/>
      <c r="M154" s="108"/>
      <c r="N154" s="111"/>
      <c r="O154" s="152">
        <f t="shared" si="31"/>
        <v>0</v>
      </c>
      <c r="P154" s="372"/>
      <c r="Q154" s="333"/>
      <c r="R154" s="344"/>
    </row>
    <row r="155" spans="1:18" ht="15">
      <c r="A155" s="153" t="s">
        <v>395</v>
      </c>
      <c r="B155" s="174" t="s">
        <v>549</v>
      </c>
      <c r="C155" s="90"/>
      <c r="D155" s="24"/>
      <c r="E155" s="24"/>
      <c r="F155" s="90"/>
      <c r="G155" s="109"/>
      <c r="H155" s="109"/>
      <c r="I155" s="95">
        <v>23680</v>
      </c>
      <c r="J155" s="108"/>
      <c r="K155" s="108"/>
      <c r="L155" s="108"/>
      <c r="M155" s="108"/>
      <c r="N155" s="111"/>
      <c r="O155" s="152">
        <f>SUM(C155:N155)</f>
        <v>23680</v>
      </c>
      <c r="P155" s="372"/>
      <c r="Q155" s="333"/>
      <c r="R155" s="344"/>
    </row>
    <row r="156" spans="1:18" ht="45">
      <c r="A156" s="153" t="s">
        <v>447</v>
      </c>
      <c r="B156" s="229" t="s">
        <v>550</v>
      </c>
      <c r="C156" s="90">
        <f>47000-16106</f>
        <v>30894</v>
      </c>
      <c r="D156" s="24">
        <v>1523</v>
      </c>
      <c r="E156" s="24">
        <v>1900</v>
      </c>
      <c r="F156" s="90"/>
      <c r="G156" s="109"/>
      <c r="H156" s="95">
        <v>1400</v>
      </c>
      <c r="I156" s="95">
        <v>2500</v>
      </c>
      <c r="J156" s="108">
        <v>4155</v>
      </c>
      <c r="K156" s="108"/>
      <c r="L156" s="108">
        <v>850</v>
      </c>
      <c r="M156" s="108">
        <v>949</v>
      </c>
      <c r="N156" s="111">
        <v>3000</v>
      </c>
      <c r="O156" s="152">
        <f>SUM(C156:N156)</f>
        <v>47171</v>
      </c>
      <c r="P156" s="372"/>
      <c r="Q156" s="333"/>
      <c r="R156" s="344"/>
    </row>
    <row r="157" spans="1:18" ht="30">
      <c r="A157" s="153" t="s">
        <v>445</v>
      </c>
      <c r="B157" s="180" t="s">
        <v>446</v>
      </c>
      <c r="C157" s="90"/>
      <c r="D157" s="24"/>
      <c r="E157" s="24"/>
      <c r="F157" s="90"/>
      <c r="G157" s="109"/>
      <c r="H157" s="109"/>
      <c r="I157" s="95"/>
      <c r="J157" s="108"/>
      <c r="K157" s="108"/>
      <c r="L157" s="108"/>
      <c r="M157" s="108"/>
      <c r="N157" s="111"/>
      <c r="O157" s="152">
        <f>SUM(C157:N157)</f>
        <v>0</v>
      </c>
      <c r="P157" s="372"/>
      <c r="Q157" s="333"/>
      <c r="R157" s="344"/>
    </row>
    <row r="158" spans="1:18" ht="15">
      <c r="A158" s="150" t="s">
        <v>330</v>
      </c>
      <c r="B158" s="120" t="s">
        <v>142</v>
      </c>
      <c r="C158" s="151">
        <v>42598</v>
      </c>
      <c r="D158" s="37"/>
      <c r="E158" s="37"/>
      <c r="F158" s="151"/>
      <c r="G158" s="109"/>
      <c r="H158" s="109"/>
      <c r="I158" s="109"/>
      <c r="J158" s="108"/>
      <c r="K158" s="108"/>
      <c r="L158" s="108"/>
      <c r="M158" s="108"/>
      <c r="N158" s="111"/>
      <c r="O158" s="152">
        <f t="shared" si="31"/>
        <v>42598</v>
      </c>
      <c r="P158" s="372"/>
      <c r="Q158" s="333"/>
      <c r="R158" s="344"/>
    </row>
    <row r="159" spans="1:18" ht="30" thickBot="1">
      <c r="A159" s="150" t="s">
        <v>143</v>
      </c>
      <c r="B159" s="120" t="s">
        <v>144</v>
      </c>
      <c r="C159" s="151">
        <f>105372-3322</f>
        <v>102050</v>
      </c>
      <c r="D159" s="37"/>
      <c r="E159" s="37"/>
      <c r="F159" s="151"/>
      <c r="G159" s="109"/>
      <c r="H159" s="109"/>
      <c r="I159" s="95">
        <v>3058</v>
      </c>
      <c r="J159" s="108">
        <v>3779</v>
      </c>
      <c r="K159" s="108"/>
      <c r="L159" s="108"/>
      <c r="M159" s="108"/>
      <c r="N159" s="111"/>
      <c r="O159" s="152">
        <f t="shared" si="31"/>
        <v>108887</v>
      </c>
      <c r="P159" s="372"/>
      <c r="Q159" s="333"/>
      <c r="R159" s="344"/>
    </row>
    <row r="160" spans="1:18" ht="15.75" thickBot="1">
      <c r="A160" s="184" t="s">
        <v>145</v>
      </c>
      <c r="B160" s="175" t="s">
        <v>30</v>
      </c>
      <c r="C160" s="81">
        <f aca="true" t="shared" si="38" ref="C160:N160">C161+C172+C173+C183+C190+C191+C192</f>
        <v>12665554</v>
      </c>
      <c r="D160" s="81">
        <f t="shared" si="38"/>
        <v>0</v>
      </c>
      <c r="E160" s="81">
        <f t="shared" si="38"/>
        <v>0</v>
      </c>
      <c r="F160" s="81">
        <f t="shared" si="38"/>
        <v>0</v>
      </c>
      <c r="G160" s="81">
        <f t="shared" si="38"/>
        <v>1259029</v>
      </c>
      <c r="H160" s="81">
        <f t="shared" si="38"/>
        <v>0</v>
      </c>
      <c r="I160" s="81">
        <f t="shared" si="38"/>
        <v>380423</v>
      </c>
      <c r="J160" s="81">
        <f t="shared" si="38"/>
        <v>1147214</v>
      </c>
      <c r="K160" s="81">
        <f t="shared" si="38"/>
        <v>18274</v>
      </c>
      <c r="L160" s="81">
        <f t="shared" si="38"/>
        <v>16277</v>
      </c>
      <c r="M160" s="81">
        <f t="shared" si="38"/>
        <v>25429</v>
      </c>
      <c r="N160" s="81">
        <f t="shared" si="38"/>
        <v>480324</v>
      </c>
      <c r="O160" s="82">
        <f t="shared" si="31"/>
        <v>15992524</v>
      </c>
      <c r="P160" s="333"/>
      <c r="Q160" s="333"/>
      <c r="R160" s="344"/>
    </row>
    <row r="161" spans="1:18" ht="15">
      <c r="A161" s="144" t="s">
        <v>146</v>
      </c>
      <c r="B161" s="145" t="s">
        <v>331</v>
      </c>
      <c r="C161" s="146">
        <f>SUM(C162:C171)</f>
        <v>3784855</v>
      </c>
      <c r="D161" s="146">
        <f>SUM(D162:D171)</f>
        <v>0</v>
      </c>
      <c r="E161" s="146">
        <f>SUM(E162:E171)</f>
        <v>0</v>
      </c>
      <c r="F161" s="146">
        <f>SUM(F162:F171)</f>
        <v>0</v>
      </c>
      <c r="G161" s="105">
        <f aca="true" t="shared" si="39" ref="G161:N161">SUM(G162:G171)</f>
        <v>0</v>
      </c>
      <c r="H161" s="105">
        <f t="shared" si="39"/>
        <v>0</v>
      </c>
      <c r="I161" s="105">
        <f t="shared" si="39"/>
        <v>132601</v>
      </c>
      <c r="J161" s="146">
        <f t="shared" si="39"/>
        <v>295388</v>
      </c>
      <c r="K161" s="146">
        <f t="shared" si="39"/>
        <v>0</v>
      </c>
      <c r="L161" s="146">
        <f t="shared" si="39"/>
        <v>0</v>
      </c>
      <c r="M161" s="146">
        <f t="shared" si="39"/>
        <v>0</v>
      </c>
      <c r="N161" s="146">
        <f t="shared" si="39"/>
        <v>0</v>
      </c>
      <c r="O161" s="149">
        <f t="shared" si="31"/>
        <v>4212844</v>
      </c>
      <c r="P161" s="333"/>
      <c r="Q161" s="333"/>
      <c r="R161" s="344"/>
    </row>
    <row r="162" spans="1:18" ht="15">
      <c r="A162" s="153" t="s">
        <v>332</v>
      </c>
      <c r="B162" s="185" t="s">
        <v>147</v>
      </c>
      <c r="C162" s="24">
        <f>249681+21993+984</f>
        <v>272658</v>
      </c>
      <c r="D162" s="24"/>
      <c r="E162" s="24"/>
      <c r="F162" s="90"/>
      <c r="G162" s="109"/>
      <c r="H162" s="109"/>
      <c r="I162" s="109"/>
      <c r="J162" s="108"/>
      <c r="K162" s="108"/>
      <c r="L162" s="108"/>
      <c r="M162" s="108"/>
      <c r="N162" s="111"/>
      <c r="O162" s="152">
        <f t="shared" si="31"/>
        <v>272658</v>
      </c>
      <c r="P162" s="372"/>
      <c r="Q162" s="333"/>
      <c r="R162" s="344"/>
    </row>
    <row r="163" spans="1:18" ht="15">
      <c r="A163" s="153" t="s">
        <v>333</v>
      </c>
      <c r="B163" s="185" t="s">
        <v>148</v>
      </c>
      <c r="C163" s="90">
        <f>464675+49875+2063+40000</f>
        <v>556613</v>
      </c>
      <c r="D163" s="24"/>
      <c r="E163" s="24"/>
      <c r="F163" s="90"/>
      <c r="G163" s="109"/>
      <c r="H163" s="109"/>
      <c r="I163" s="109"/>
      <c r="J163" s="108"/>
      <c r="K163" s="108"/>
      <c r="L163" s="108"/>
      <c r="M163" s="108"/>
      <c r="N163" s="111"/>
      <c r="O163" s="152">
        <f t="shared" si="31"/>
        <v>556613</v>
      </c>
      <c r="P163" s="372"/>
      <c r="Q163" s="333"/>
      <c r="R163" s="344"/>
    </row>
    <row r="164" spans="1:18" ht="15">
      <c r="A164" s="153" t="s">
        <v>334</v>
      </c>
      <c r="B164" s="185" t="s">
        <v>149</v>
      </c>
      <c r="C164" s="90">
        <f>489142+47087+1949+1945</f>
        <v>540123</v>
      </c>
      <c r="D164" s="24"/>
      <c r="E164" s="24"/>
      <c r="F164" s="90"/>
      <c r="G164" s="109"/>
      <c r="H164" s="109"/>
      <c r="I164" s="109"/>
      <c r="J164" s="108"/>
      <c r="K164" s="108"/>
      <c r="L164" s="108"/>
      <c r="M164" s="108"/>
      <c r="N164" s="111"/>
      <c r="O164" s="152">
        <f t="shared" si="31"/>
        <v>540123</v>
      </c>
      <c r="P164" s="372"/>
      <c r="Q164" s="333"/>
      <c r="R164" s="344"/>
    </row>
    <row r="165" spans="1:18" ht="15">
      <c r="A165" s="153" t="s">
        <v>335</v>
      </c>
      <c r="B165" s="185" t="s">
        <v>150</v>
      </c>
      <c r="C165" s="90">
        <f>490363+58662+2063</f>
        <v>551088</v>
      </c>
      <c r="D165" s="24"/>
      <c r="E165" s="24"/>
      <c r="F165" s="90"/>
      <c r="G165" s="109"/>
      <c r="H165" s="109"/>
      <c r="I165" s="109"/>
      <c r="J165" s="108"/>
      <c r="K165" s="108"/>
      <c r="L165" s="108"/>
      <c r="M165" s="108"/>
      <c r="N165" s="111"/>
      <c r="O165" s="152">
        <f t="shared" si="31"/>
        <v>551088</v>
      </c>
      <c r="P165" s="372"/>
      <c r="Q165" s="333"/>
      <c r="R165" s="344"/>
    </row>
    <row r="166" spans="1:18" ht="15">
      <c r="A166" s="153" t="s">
        <v>336</v>
      </c>
      <c r="B166" s="185" t="s">
        <v>151</v>
      </c>
      <c r="C166" s="90">
        <f>550990+65391+2705</f>
        <v>619086</v>
      </c>
      <c r="D166" s="24"/>
      <c r="E166" s="24"/>
      <c r="F166" s="90"/>
      <c r="G166" s="109"/>
      <c r="H166" s="109"/>
      <c r="I166" s="95">
        <v>132601</v>
      </c>
      <c r="J166" s="108"/>
      <c r="K166" s="108"/>
      <c r="L166" s="108"/>
      <c r="M166" s="108"/>
      <c r="N166" s="111"/>
      <c r="O166" s="152">
        <f t="shared" si="31"/>
        <v>751687</v>
      </c>
      <c r="P166" s="372"/>
      <c r="Q166" s="333"/>
      <c r="R166" s="344"/>
    </row>
    <row r="167" spans="1:18" ht="15">
      <c r="A167" s="153" t="s">
        <v>337</v>
      </c>
      <c r="B167" s="185" t="s">
        <v>152</v>
      </c>
      <c r="C167" s="90">
        <f>301579+18000+757</f>
        <v>320336</v>
      </c>
      <c r="D167" s="24"/>
      <c r="E167" s="24"/>
      <c r="F167" s="90"/>
      <c r="G167" s="109"/>
      <c r="H167" s="109"/>
      <c r="I167" s="109"/>
      <c r="J167" s="108"/>
      <c r="K167" s="108"/>
      <c r="L167" s="108"/>
      <c r="M167" s="108"/>
      <c r="N167" s="111"/>
      <c r="O167" s="152">
        <f t="shared" si="31"/>
        <v>320336</v>
      </c>
      <c r="P167" s="372"/>
      <c r="Q167" s="333"/>
      <c r="R167" s="344"/>
    </row>
    <row r="168" spans="1:18" ht="15">
      <c r="A168" s="153" t="s">
        <v>338</v>
      </c>
      <c r="B168" s="185" t="s">
        <v>189</v>
      </c>
      <c r="C168" s="90">
        <f>461252+39705+1873</f>
        <v>502830</v>
      </c>
      <c r="D168" s="24"/>
      <c r="E168" s="24"/>
      <c r="F168" s="90"/>
      <c r="G168" s="109"/>
      <c r="H168" s="109"/>
      <c r="I168" s="109"/>
      <c r="J168" s="108"/>
      <c r="K168" s="108"/>
      <c r="L168" s="108"/>
      <c r="M168" s="108"/>
      <c r="N168" s="111"/>
      <c r="O168" s="152">
        <f t="shared" si="31"/>
        <v>502830</v>
      </c>
      <c r="P168" s="372"/>
      <c r="Q168" s="333"/>
      <c r="R168" s="344"/>
    </row>
    <row r="169" spans="1:18" ht="15">
      <c r="A169" s="153" t="s">
        <v>339</v>
      </c>
      <c r="B169" s="185" t="s">
        <v>212</v>
      </c>
      <c r="C169" s="90">
        <f>314871+22690+1154+10000+1406</f>
        <v>350121</v>
      </c>
      <c r="D169" s="90"/>
      <c r="E169" s="90"/>
      <c r="F169" s="90"/>
      <c r="G169" s="109"/>
      <c r="H169" s="109"/>
      <c r="I169" s="95"/>
      <c r="J169" s="111"/>
      <c r="K169" s="111"/>
      <c r="L169" s="111"/>
      <c r="M169" s="111"/>
      <c r="N169" s="111"/>
      <c r="O169" s="152">
        <f t="shared" si="31"/>
        <v>350121</v>
      </c>
      <c r="P169" s="372"/>
      <c r="Q169" s="333"/>
      <c r="R169" s="344"/>
    </row>
    <row r="170" spans="1:18" ht="15">
      <c r="A170" s="153" t="s">
        <v>340</v>
      </c>
      <c r="B170" s="185" t="s">
        <v>213</v>
      </c>
      <c r="C170" s="90"/>
      <c r="D170" s="90"/>
      <c r="E170" s="90"/>
      <c r="F170" s="90"/>
      <c r="G170" s="109"/>
      <c r="H170" s="109"/>
      <c r="I170" s="109"/>
      <c r="J170" s="231">
        <f>294858+530</f>
        <v>295388</v>
      </c>
      <c r="K170" s="111"/>
      <c r="L170" s="111"/>
      <c r="M170" s="111"/>
      <c r="N170" s="111"/>
      <c r="O170" s="152">
        <f t="shared" si="31"/>
        <v>295388</v>
      </c>
      <c r="P170" s="372"/>
      <c r="Q170" s="333"/>
      <c r="R170" s="344"/>
    </row>
    <row r="171" spans="1:18" ht="30">
      <c r="A171" s="153" t="s">
        <v>341</v>
      </c>
      <c r="B171" s="185" t="s">
        <v>448</v>
      </c>
      <c r="C171" s="90">
        <v>72000</v>
      </c>
      <c r="D171" s="90"/>
      <c r="E171" s="90"/>
      <c r="F171" s="90"/>
      <c r="G171" s="109"/>
      <c r="H171" s="109"/>
      <c r="I171" s="109"/>
      <c r="J171" s="111"/>
      <c r="K171" s="111"/>
      <c r="L171" s="111"/>
      <c r="M171" s="111"/>
      <c r="N171" s="182"/>
      <c r="O171" s="152">
        <f>SUM(C171:N171)</f>
        <v>72000</v>
      </c>
      <c r="P171" s="372"/>
      <c r="Q171" s="333"/>
      <c r="R171" s="344"/>
    </row>
    <row r="172" spans="1:18" ht="15">
      <c r="A172" s="150" t="s">
        <v>154</v>
      </c>
      <c r="B172" s="186" t="s">
        <v>342</v>
      </c>
      <c r="C172" s="90">
        <f>275862+444667+123475+6000+6792+5363</f>
        <v>862159</v>
      </c>
      <c r="D172" s="90"/>
      <c r="E172" s="90"/>
      <c r="F172" s="90"/>
      <c r="G172" s="218"/>
      <c r="H172" s="187"/>
      <c r="I172" s="187"/>
      <c r="J172" s="111"/>
      <c r="K172" s="111"/>
      <c r="L172" s="111"/>
      <c r="M172" s="111"/>
      <c r="N172" s="111"/>
      <c r="O172" s="152">
        <f>SUM(C172:N172)</f>
        <v>862159</v>
      </c>
      <c r="P172" s="372"/>
      <c r="Q172" s="333"/>
      <c r="R172" s="344"/>
    </row>
    <row r="173" spans="1:18" ht="29.25">
      <c r="A173" s="150" t="s">
        <v>216</v>
      </c>
      <c r="B173" s="120" t="s">
        <v>343</v>
      </c>
      <c r="C173" s="151">
        <f aca="true" t="shared" si="40" ref="C173:N173">SUM(C174:C182)</f>
        <v>3997477</v>
      </c>
      <c r="D173" s="151">
        <f t="shared" si="40"/>
        <v>0</v>
      </c>
      <c r="E173" s="151">
        <f t="shared" si="40"/>
        <v>0</v>
      </c>
      <c r="F173" s="151">
        <f t="shared" si="40"/>
        <v>0</v>
      </c>
      <c r="G173" s="37">
        <f t="shared" si="40"/>
        <v>1240529</v>
      </c>
      <c r="H173" s="151">
        <f t="shared" si="40"/>
        <v>0</v>
      </c>
      <c r="I173" s="151">
        <f t="shared" si="40"/>
        <v>228286</v>
      </c>
      <c r="J173" s="151">
        <f t="shared" si="40"/>
        <v>563595</v>
      </c>
      <c r="K173" s="151">
        <f t="shared" si="40"/>
        <v>0</v>
      </c>
      <c r="L173" s="151">
        <f t="shared" si="40"/>
        <v>0</v>
      </c>
      <c r="M173" s="151">
        <f t="shared" si="40"/>
        <v>10250</v>
      </c>
      <c r="N173" s="151">
        <f t="shared" si="40"/>
        <v>461869</v>
      </c>
      <c r="O173" s="152">
        <f>SUM(C173:N173)</f>
        <v>6502006</v>
      </c>
      <c r="P173" s="333"/>
      <c r="Q173" s="333"/>
      <c r="R173" s="344"/>
    </row>
    <row r="174" spans="1:18" ht="15">
      <c r="A174" s="153" t="s">
        <v>344</v>
      </c>
      <c r="B174" s="185" t="s">
        <v>155</v>
      </c>
      <c r="C174" s="90">
        <f>650003+932601+116716+6950+15493+500</f>
        <v>1722263</v>
      </c>
      <c r="D174" s="24"/>
      <c r="E174" s="24"/>
      <c r="F174" s="90"/>
      <c r="G174" s="109"/>
      <c r="H174" s="109"/>
      <c r="I174" s="109"/>
      <c r="J174" s="108"/>
      <c r="K174" s="108"/>
      <c r="L174" s="108"/>
      <c r="M174" s="108"/>
      <c r="N174" s="111"/>
      <c r="O174" s="152">
        <f t="shared" si="31"/>
        <v>1722263</v>
      </c>
      <c r="P174" s="372"/>
      <c r="Q174" s="333"/>
      <c r="R174" s="344"/>
    </row>
    <row r="175" spans="1:18" ht="15">
      <c r="A175" s="153" t="s">
        <v>345</v>
      </c>
      <c r="B175" s="185" t="s">
        <v>346</v>
      </c>
      <c r="C175" s="90">
        <f>457147+494765+2731+5576+1573</f>
        <v>961792</v>
      </c>
      <c r="D175" s="24"/>
      <c r="E175" s="24"/>
      <c r="F175" s="90"/>
      <c r="G175" s="109"/>
      <c r="H175" s="109"/>
      <c r="I175" s="109"/>
      <c r="J175" s="108"/>
      <c r="K175" s="108"/>
      <c r="L175" s="108"/>
      <c r="M175" s="108"/>
      <c r="N175" s="111"/>
      <c r="O175" s="152">
        <f t="shared" si="31"/>
        <v>961792</v>
      </c>
      <c r="P175" s="372"/>
      <c r="Q175" s="333"/>
      <c r="R175" s="344"/>
    </row>
    <row r="176" spans="1:18" ht="15">
      <c r="A176" s="153" t="s">
        <v>347</v>
      </c>
      <c r="B176" s="185" t="s">
        <v>156</v>
      </c>
      <c r="C176" s="90">
        <f>409867+464669+62092+6000+4767+3520</f>
        <v>950915</v>
      </c>
      <c r="D176" s="24"/>
      <c r="E176" s="24"/>
      <c r="F176" s="90"/>
      <c r="G176" s="109"/>
      <c r="H176" s="109"/>
      <c r="I176" s="109"/>
      <c r="J176" s="108"/>
      <c r="K176" s="108"/>
      <c r="L176" s="108"/>
      <c r="M176" s="108"/>
      <c r="N176" s="111"/>
      <c r="O176" s="152">
        <f t="shared" si="31"/>
        <v>950915</v>
      </c>
      <c r="P176" s="372"/>
      <c r="Q176" s="333"/>
      <c r="R176" s="344"/>
    </row>
    <row r="177" spans="1:18" ht="15">
      <c r="A177" s="153" t="s">
        <v>348</v>
      </c>
      <c r="B177" s="89" t="s">
        <v>157</v>
      </c>
      <c r="C177" s="90">
        <f>210633+129849+17886+1339+1500+1300</f>
        <v>362507</v>
      </c>
      <c r="D177" s="24"/>
      <c r="E177" s="24"/>
      <c r="F177" s="90"/>
      <c r="G177" s="109"/>
      <c r="H177" s="109"/>
      <c r="I177" s="109"/>
      <c r="J177" s="108"/>
      <c r="K177" s="108"/>
      <c r="L177" s="108"/>
      <c r="M177" s="108"/>
      <c r="N177" s="111"/>
      <c r="O177" s="152">
        <f t="shared" si="31"/>
        <v>362507</v>
      </c>
      <c r="P177" s="372"/>
      <c r="Q177" s="333"/>
      <c r="R177" s="344"/>
    </row>
    <row r="178" spans="1:18" ht="15">
      <c r="A178" s="153" t="s">
        <v>349</v>
      </c>
      <c r="B178" s="89" t="s">
        <v>214</v>
      </c>
      <c r="C178" s="90"/>
      <c r="D178" s="24"/>
      <c r="E178" s="24"/>
      <c r="F178" s="90"/>
      <c r="G178" s="109"/>
      <c r="H178" s="109"/>
      <c r="I178" s="95">
        <v>228286</v>
      </c>
      <c r="J178" s="111"/>
      <c r="K178" s="111"/>
      <c r="L178" s="111"/>
      <c r="M178" s="111"/>
      <c r="N178" s="111"/>
      <c r="O178" s="152">
        <f t="shared" si="31"/>
        <v>228286</v>
      </c>
      <c r="P178" s="372"/>
      <c r="Q178" s="333"/>
      <c r="R178" s="344"/>
    </row>
    <row r="179" spans="1:18" ht="15">
      <c r="A179" s="153" t="s">
        <v>350</v>
      </c>
      <c r="B179" s="89" t="s">
        <v>215</v>
      </c>
      <c r="C179" s="90"/>
      <c r="D179" s="24"/>
      <c r="E179" s="24"/>
      <c r="F179" s="90"/>
      <c r="G179" s="109"/>
      <c r="H179" s="109"/>
      <c r="I179" s="95"/>
      <c r="J179" s="108">
        <v>563595</v>
      </c>
      <c r="K179" s="111"/>
      <c r="L179" s="111"/>
      <c r="M179" s="111"/>
      <c r="N179" s="111"/>
      <c r="O179" s="152">
        <f t="shared" si="31"/>
        <v>563595</v>
      </c>
      <c r="P179" s="372"/>
      <c r="Q179" s="333"/>
      <c r="R179" s="344"/>
    </row>
    <row r="180" spans="1:18" ht="15">
      <c r="A180" s="153" t="s">
        <v>351</v>
      </c>
      <c r="B180" s="89" t="s">
        <v>410</v>
      </c>
      <c r="C180" s="90"/>
      <c r="D180" s="24"/>
      <c r="E180" s="24"/>
      <c r="F180" s="90"/>
      <c r="G180" s="109"/>
      <c r="H180" s="109"/>
      <c r="I180" s="95"/>
      <c r="J180" s="111"/>
      <c r="K180" s="111"/>
      <c r="L180" s="111"/>
      <c r="M180" s="111">
        <v>10250</v>
      </c>
      <c r="N180" s="108">
        <f>456478+2536+2855</f>
        <v>461869</v>
      </c>
      <c r="O180" s="152">
        <f t="shared" si="31"/>
        <v>472119</v>
      </c>
      <c r="P180" s="372"/>
      <c r="Q180" s="333"/>
      <c r="R180" s="344"/>
    </row>
    <row r="181" spans="1:18" ht="15">
      <c r="A181" s="153" t="s">
        <v>352</v>
      </c>
      <c r="B181" s="89" t="s">
        <v>217</v>
      </c>
      <c r="C181" s="90"/>
      <c r="D181" s="24"/>
      <c r="E181" s="24"/>
      <c r="F181" s="90"/>
      <c r="G181" s="218">
        <f>884879+4010</f>
        <v>888889</v>
      </c>
      <c r="H181" s="109"/>
      <c r="I181" s="95"/>
      <c r="J181" s="111"/>
      <c r="K181" s="111"/>
      <c r="L181" s="111"/>
      <c r="M181" s="111"/>
      <c r="N181" s="111"/>
      <c r="O181" s="152">
        <f t="shared" si="31"/>
        <v>888889</v>
      </c>
      <c r="P181" s="372"/>
      <c r="Q181" s="333"/>
      <c r="R181" s="344"/>
    </row>
    <row r="182" spans="1:18" ht="15">
      <c r="A182" s="153" t="s">
        <v>353</v>
      </c>
      <c r="B182" s="89" t="s">
        <v>218</v>
      </c>
      <c r="C182" s="90"/>
      <c r="D182" s="90"/>
      <c r="E182" s="90"/>
      <c r="F182" s="90"/>
      <c r="G182" s="218">
        <f>350590+1050</f>
        <v>351640</v>
      </c>
      <c r="H182" s="95"/>
      <c r="I182" s="95"/>
      <c r="J182" s="111"/>
      <c r="K182" s="111"/>
      <c r="L182" s="111"/>
      <c r="M182" s="111"/>
      <c r="N182" s="111"/>
      <c r="O182" s="152">
        <f t="shared" si="31"/>
        <v>351640</v>
      </c>
      <c r="P182" s="372"/>
      <c r="Q182" s="333"/>
      <c r="R182" s="344"/>
    </row>
    <row r="183" spans="1:18" ht="24.75" customHeight="1">
      <c r="A183" s="150" t="s">
        <v>158</v>
      </c>
      <c r="B183" s="120" t="s">
        <v>159</v>
      </c>
      <c r="C183" s="151">
        <f aca="true" t="shared" si="41" ref="C183:N183">SUM(C184:C189)</f>
        <v>2041393</v>
      </c>
      <c r="D183" s="151">
        <f t="shared" si="41"/>
        <v>0</v>
      </c>
      <c r="E183" s="151">
        <f t="shared" si="41"/>
        <v>0</v>
      </c>
      <c r="F183" s="151">
        <f t="shared" si="41"/>
        <v>0</v>
      </c>
      <c r="G183" s="37">
        <f t="shared" si="41"/>
        <v>0</v>
      </c>
      <c r="H183" s="151">
        <f t="shared" si="41"/>
        <v>0</v>
      </c>
      <c r="I183" s="151">
        <f t="shared" si="41"/>
        <v>0</v>
      </c>
      <c r="J183" s="151">
        <f t="shared" si="41"/>
        <v>178376</v>
      </c>
      <c r="K183" s="151">
        <f t="shared" si="41"/>
        <v>0</v>
      </c>
      <c r="L183" s="151">
        <f t="shared" si="41"/>
        <v>0</v>
      </c>
      <c r="M183" s="151">
        <f t="shared" si="41"/>
        <v>0</v>
      </c>
      <c r="N183" s="151">
        <f t="shared" si="41"/>
        <v>0</v>
      </c>
      <c r="O183" s="152">
        <f>SUM(C183:N183)</f>
        <v>2219769</v>
      </c>
      <c r="P183" s="333"/>
      <c r="Q183" s="333"/>
      <c r="R183" s="344"/>
    </row>
    <row r="184" spans="1:18" ht="15">
      <c r="A184" s="153" t="s">
        <v>354</v>
      </c>
      <c r="B184" s="89" t="s">
        <v>39</v>
      </c>
      <c r="C184" s="90">
        <f>402008+24000+134871+39684</f>
        <v>600563</v>
      </c>
      <c r="D184" s="24"/>
      <c r="E184" s="24"/>
      <c r="F184" s="90"/>
      <c r="G184" s="109"/>
      <c r="H184" s="109"/>
      <c r="I184" s="109"/>
      <c r="J184" s="108"/>
      <c r="K184" s="108"/>
      <c r="L184" s="108"/>
      <c r="M184" s="108"/>
      <c r="N184" s="111"/>
      <c r="O184" s="152">
        <f t="shared" si="31"/>
        <v>600563</v>
      </c>
      <c r="P184" s="372"/>
      <c r="Q184" s="333"/>
      <c r="R184" s="344"/>
    </row>
    <row r="185" spans="1:18" ht="15">
      <c r="A185" s="153" t="s">
        <v>355</v>
      </c>
      <c r="B185" s="89" t="s">
        <v>177</v>
      </c>
      <c r="C185" s="90">
        <f>158601+87023</f>
        <v>245624</v>
      </c>
      <c r="D185" s="24"/>
      <c r="E185" s="24"/>
      <c r="F185" s="90"/>
      <c r="G185" s="109"/>
      <c r="H185" s="109"/>
      <c r="I185" s="109"/>
      <c r="J185" s="108"/>
      <c r="K185" s="108"/>
      <c r="L185" s="108"/>
      <c r="M185" s="108"/>
      <c r="N185" s="111"/>
      <c r="O185" s="152">
        <f t="shared" si="31"/>
        <v>245624</v>
      </c>
      <c r="P185" s="372"/>
      <c r="Q185" s="333"/>
      <c r="R185" s="344"/>
    </row>
    <row r="186" spans="1:18" ht="15">
      <c r="A186" s="153" t="s">
        <v>356</v>
      </c>
      <c r="B186" s="89" t="s">
        <v>160</v>
      </c>
      <c r="C186" s="90">
        <f>378431+259540+1000+6528</f>
        <v>645499</v>
      </c>
      <c r="D186" s="24"/>
      <c r="E186" s="24"/>
      <c r="F186" s="90"/>
      <c r="G186" s="109"/>
      <c r="H186" s="109"/>
      <c r="I186" s="109"/>
      <c r="J186" s="108"/>
      <c r="K186" s="108"/>
      <c r="L186" s="108"/>
      <c r="M186" s="108"/>
      <c r="N186" s="111"/>
      <c r="O186" s="152">
        <f t="shared" si="31"/>
        <v>645499</v>
      </c>
      <c r="P186" s="372"/>
      <c r="Q186" s="333"/>
      <c r="R186" s="344"/>
    </row>
    <row r="187" spans="1:18" ht="15">
      <c r="A187" s="153" t="s">
        <v>357</v>
      </c>
      <c r="B187" s="89" t="s">
        <v>161</v>
      </c>
      <c r="C187" s="90">
        <f>352338+79679+1715</f>
        <v>433732</v>
      </c>
      <c r="D187" s="24"/>
      <c r="E187" s="24"/>
      <c r="F187" s="90"/>
      <c r="G187" s="95"/>
      <c r="H187" s="109"/>
      <c r="I187" s="109"/>
      <c r="J187" s="108"/>
      <c r="K187" s="108"/>
      <c r="L187" s="108"/>
      <c r="M187" s="108"/>
      <c r="N187" s="111"/>
      <c r="O187" s="152">
        <f t="shared" si="31"/>
        <v>433732</v>
      </c>
      <c r="P187" s="372"/>
      <c r="Q187" s="333"/>
      <c r="R187" s="344"/>
    </row>
    <row r="188" spans="1:18" ht="15">
      <c r="A188" s="153" t="s">
        <v>358</v>
      </c>
      <c r="B188" s="89" t="s">
        <v>162</v>
      </c>
      <c r="C188" s="24">
        <f>85270+30314+391</f>
        <v>115975</v>
      </c>
      <c r="D188" s="24"/>
      <c r="E188" s="24"/>
      <c r="F188" s="90"/>
      <c r="G188" s="109"/>
      <c r="H188" s="109"/>
      <c r="I188" s="109"/>
      <c r="J188" s="108"/>
      <c r="K188" s="108"/>
      <c r="L188" s="108"/>
      <c r="M188" s="108"/>
      <c r="N188" s="111"/>
      <c r="O188" s="152">
        <f t="shared" si="31"/>
        <v>115975</v>
      </c>
      <c r="P188" s="372"/>
      <c r="Q188" s="333"/>
      <c r="R188" s="344"/>
    </row>
    <row r="189" spans="1:18" ht="15">
      <c r="A189" s="153" t="s">
        <v>359</v>
      </c>
      <c r="B189" s="89" t="s">
        <v>219</v>
      </c>
      <c r="C189" s="24"/>
      <c r="D189" s="24"/>
      <c r="E189" s="24"/>
      <c r="F189" s="90"/>
      <c r="G189" s="109"/>
      <c r="H189" s="109"/>
      <c r="I189" s="109"/>
      <c r="J189" s="231">
        <v>178376</v>
      </c>
      <c r="K189" s="108"/>
      <c r="L189" s="108"/>
      <c r="M189" s="108"/>
      <c r="N189" s="111"/>
      <c r="O189" s="152">
        <f aca="true" t="shared" si="42" ref="O189:O206">SUM(C189:N189)</f>
        <v>178376</v>
      </c>
      <c r="P189" s="372"/>
      <c r="Q189" s="333"/>
      <c r="R189" s="344"/>
    </row>
    <row r="190" spans="1:18" ht="15">
      <c r="A190" s="188" t="s">
        <v>220</v>
      </c>
      <c r="B190" s="120" t="s">
        <v>221</v>
      </c>
      <c r="C190" s="24">
        <v>185000</v>
      </c>
      <c r="D190" s="24"/>
      <c r="E190" s="24"/>
      <c r="F190" s="90"/>
      <c r="G190" s="109"/>
      <c r="H190" s="109"/>
      <c r="I190" s="109"/>
      <c r="J190" s="189">
        <v>99086</v>
      </c>
      <c r="K190" s="108"/>
      <c r="L190" s="108"/>
      <c r="M190" s="108"/>
      <c r="N190" s="111"/>
      <c r="O190" s="152">
        <f t="shared" si="42"/>
        <v>284086</v>
      </c>
      <c r="P190" s="333"/>
      <c r="Q190" s="333"/>
      <c r="R190" s="344"/>
    </row>
    <row r="191" spans="1:18" ht="29.25">
      <c r="A191" s="150" t="s">
        <v>222</v>
      </c>
      <c r="B191" s="120" t="s">
        <v>551</v>
      </c>
      <c r="C191" s="151">
        <v>249310</v>
      </c>
      <c r="D191" s="151"/>
      <c r="E191" s="151"/>
      <c r="F191" s="151"/>
      <c r="G191" s="190"/>
      <c r="H191" s="190"/>
      <c r="I191" s="190"/>
      <c r="J191" s="191"/>
      <c r="K191" s="191"/>
      <c r="L191" s="191"/>
      <c r="M191" s="191"/>
      <c r="N191" s="191"/>
      <c r="O191" s="152">
        <f t="shared" si="42"/>
        <v>249310</v>
      </c>
      <c r="P191" s="333"/>
      <c r="Q191" s="333"/>
      <c r="R191" s="344"/>
    </row>
    <row r="192" spans="1:18" ht="30.75" customHeight="1" thickBot="1">
      <c r="A192" s="192" t="s">
        <v>163</v>
      </c>
      <c r="B192" s="193" t="s">
        <v>360</v>
      </c>
      <c r="C192" s="194">
        <f aca="true" t="shared" si="43" ref="C192:N192">SUM(C193:C202)</f>
        <v>1545360</v>
      </c>
      <c r="D192" s="194">
        <f t="shared" si="43"/>
        <v>0</v>
      </c>
      <c r="E192" s="194">
        <f t="shared" si="43"/>
        <v>0</v>
      </c>
      <c r="F192" s="194">
        <f t="shared" si="43"/>
        <v>0</v>
      </c>
      <c r="G192" s="194">
        <f t="shared" si="43"/>
        <v>18500</v>
      </c>
      <c r="H192" s="194">
        <f t="shared" si="43"/>
        <v>0</v>
      </c>
      <c r="I192" s="194">
        <f t="shared" si="43"/>
        <v>19536</v>
      </c>
      <c r="J192" s="194">
        <f t="shared" si="43"/>
        <v>10769</v>
      </c>
      <c r="K192" s="194">
        <f t="shared" si="43"/>
        <v>18274</v>
      </c>
      <c r="L192" s="194">
        <f t="shared" si="43"/>
        <v>16277</v>
      </c>
      <c r="M192" s="194">
        <f t="shared" si="43"/>
        <v>15179</v>
      </c>
      <c r="N192" s="194">
        <f t="shared" si="43"/>
        <v>18455</v>
      </c>
      <c r="O192" s="233">
        <f>SUM(C192:N192)</f>
        <v>1662350</v>
      </c>
      <c r="P192" s="333"/>
      <c r="Q192" s="333"/>
      <c r="R192" s="344"/>
    </row>
    <row r="193" spans="1:18" ht="15">
      <c r="A193" s="172" t="s">
        <v>361</v>
      </c>
      <c r="B193" s="234" t="s">
        <v>552</v>
      </c>
      <c r="C193" s="90"/>
      <c r="D193" s="24"/>
      <c r="E193" s="24"/>
      <c r="F193" s="90"/>
      <c r="G193" s="109"/>
      <c r="H193" s="109"/>
      <c r="I193" s="109"/>
      <c r="J193" s="108"/>
      <c r="K193" s="108">
        <v>18274</v>
      </c>
      <c r="L193" s="108">
        <v>16277</v>
      </c>
      <c r="M193" s="108"/>
      <c r="N193" s="111"/>
      <c r="O193" s="152">
        <f t="shared" si="42"/>
        <v>34551</v>
      </c>
      <c r="P193" s="372"/>
      <c r="Q193" s="333"/>
      <c r="R193" s="344"/>
    </row>
    <row r="194" spans="1:18" ht="17.25" customHeight="1">
      <c r="A194" s="172" t="s">
        <v>362</v>
      </c>
      <c r="B194" s="361" t="s">
        <v>553</v>
      </c>
      <c r="C194" s="90"/>
      <c r="D194" s="24"/>
      <c r="E194" s="24"/>
      <c r="F194" s="90"/>
      <c r="G194" s="95">
        <v>18500</v>
      </c>
      <c r="H194" s="109"/>
      <c r="I194" s="95">
        <v>19536</v>
      </c>
      <c r="J194" s="108">
        <v>10769</v>
      </c>
      <c r="K194" s="108"/>
      <c r="L194" s="108"/>
      <c r="M194" s="108">
        <v>15179</v>
      </c>
      <c r="N194" s="111">
        <v>18455</v>
      </c>
      <c r="O194" s="152">
        <f t="shared" si="42"/>
        <v>82439</v>
      </c>
      <c r="P194" s="372"/>
      <c r="Q194" s="333"/>
      <c r="R194" s="344"/>
    </row>
    <row r="195" spans="1:18" ht="30">
      <c r="A195" s="253" t="s">
        <v>554</v>
      </c>
      <c r="B195" s="239" t="s">
        <v>555</v>
      </c>
      <c r="C195" s="90">
        <v>964</v>
      </c>
      <c r="D195" s="24"/>
      <c r="E195" s="24"/>
      <c r="F195" s="90"/>
      <c r="G195" s="109"/>
      <c r="H195" s="109"/>
      <c r="I195" s="109"/>
      <c r="J195" s="108"/>
      <c r="K195" s="108"/>
      <c r="L195" s="108"/>
      <c r="M195" s="108"/>
      <c r="N195" s="111"/>
      <c r="O195" s="152">
        <f t="shared" si="42"/>
        <v>964</v>
      </c>
      <c r="P195" s="372"/>
      <c r="Q195" s="333"/>
      <c r="R195" s="344"/>
    </row>
    <row r="196" spans="1:18" ht="45">
      <c r="A196" s="253" t="s">
        <v>483</v>
      </c>
      <c r="B196" s="239" t="s">
        <v>556</v>
      </c>
      <c r="C196" s="90">
        <v>10709</v>
      </c>
      <c r="D196" s="90"/>
      <c r="E196" s="90"/>
      <c r="F196" s="90"/>
      <c r="G196" s="109"/>
      <c r="H196" s="109"/>
      <c r="I196" s="109"/>
      <c r="J196" s="108"/>
      <c r="K196" s="108"/>
      <c r="L196" s="108"/>
      <c r="M196" s="108"/>
      <c r="N196" s="111"/>
      <c r="O196" s="152">
        <f t="shared" si="42"/>
        <v>10709</v>
      </c>
      <c r="P196" s="372"/>
      <c r="Q196" s="333"/>
      <c r="R196" s="344"/>
    </row>
    <row r="197" spans="1:18" ht="45">
      <c r="A197" s="153" t="s">
        <v>557</v>
      </c>
      <c r="B197" s="239" t="s">
        <v>558</v>
      </c>
      <c r="C197" s="24">
        <v>16797</v>
      </c>
      <c r="D197" s="90"/>
      <c r="E197" s="90"/>
      <c r="F197" s="90"/>
      <c r="G197" s="109"/>
      <c r="H197" s="100"/>
      <c r="I197" s="100"/>
      <c r="J197" s="101"/>
      <c r="K197" s="101"/>
      <c r="L197" s="101"/>
      <c r="M197" s="101"/>
      <c r="N197" s="219"/>
      <c r="O197" s="152">
        <f t="shared" si="42"/>
        <v>16797</v>
      </c>
      <c r="P197" s="372"/>
      <c r="Q197" s="333"/>
      <c r="R197" s="344"/>
    </row>
    <row r="198" spans="1:18" ht="30">
      <c r="A198" s="172" t="s">
        <v>559</v>
      </c>
      <c r="B198" s="239" t="s">
        <v>560</v>
      </c>
      <c r="C198" s="90">
        <v>1480</v>
      </c>
      <c r="D198" s="90"/>
      <c r="E198" s="90"/>
      <c r="F198" s="90"/>
      <c r="G198" s="109"/>
      <c r="H198" s="100"/>
      <c r="I198" s="100"/>
      <c r="J198" s="101"/>
      <c r="K198" s="101"/>
      <c r="L198" s="101"/>
      <c r="M198" s="101"/>
      <c r="N198" s="219"/>
      <c r="O198" s="152">
        <f>SUM(C198:N198)</f>
        <v>1480</v>
      </c>
      <c r="P198" s="372"/>
      <c r="Q198" s="333"/>
      <c r="R198" s="344"/>
    </row>
    <row r="199" spans="1:18" ht="30">
      <c r="A199" s="172" t="s">
        <v>561</v>
      </c>
      <c r="B199" s="410" t="s">
        <v>562</v>
      </c>
      <c r="C199" s="24">
        <v>2960</v>
      </c>
      <c r="D199" s="90"/>
      <c r="E199" s="90"/>
      <c r="F199" s="90"/>
      <c r="G199" s="109"/>
      <c r="H199" s="100"/>
      <c r="I199" s="100"/>
      <c r="J199" s="101"/>
      <c r="K199" s="101"/>
      <c r="L199" s="101"/>
      <c r="M199" s="101"/>
      <c r="N199" s="219"/>
      <c r="O199" s="152">
        <f>SUM(C199:N199)</f>
        <v>2960</v>
      </c>
      <c r="P199" s="372"/>
      <c r="Q199" s="333"/>
      <c r="R199" s="344"/>
    </row>
    <row r="200" spans="1:18" ht="30">
      <c r="A200" s="172" t="s">
        <v>563</v>
      </c>
      <c r="B200" s="346" t="s">
        <v>564</v>
      </c>
      <c r="C200" s="90">
        <v>10000</v>
      </c>
      <c r="D200" s="24"/>
      <c r="E200" s="90"/>
      <c r="F200" s="90"/>
      <c r="G200" s="109"/>
      <c r="H200" s="100"/>
      <c r="I200" s="100"/>
      <c r="J200" s="101"/>
      <c r="K200" s="101"/>
      <c r="L200" s="101"/>
      <c r="M200" s="101"/>
      <c r="N200" s="219"/>
      <c r="O200" s="152">
        <f>SUM(C200:N200)</f>
        <v>10000</v>
      </c>
      <c r="P200" s="372"/>
      <c r="Q200" s="333"/>
      <c r="R200" s="344"/>
    </row>
    <row r="201" spans="1:18" ht="30">
      <c r="A201" s="153" t="s">
        <v>565</v>
      </c>
      <c r="B201" s="355" t="s">
        <v>566</v>
      </c>
      <c r="C201" s="90">
        <v>1500000</v>
      </c>
      <c r="D201" s="90"/>
      <c r="E201" s="90"/>
      <c r="F201" s="90"/>
      <c r="G201" s="109"/>
      <c r="H201" s="109"/>
      <c r="I201" s="109"/>
      <c r="J201" s="108"/>
      <c r="K201" s="108"/>
      <c r="L201" s="108"/>
      <c r="M201" s="108"/>
      <c r="N201" s="182"/>
      <c r="O201" s="152">
        <f t="shared" si="42"/>
        <v>1500000</v>
      </c>
      <c r="P201" s="372"/>
      <c r="Q201" s="333"/>
      <c r="R201" s="344"/>
    </row>
    <row r="202" spans="1:18" ht="30.75" thickBot="1">
      <c r="A202" s="153" t="s">
        <v>648</v>
      </c>
      <c r="B202" s="346" t="s">
        <v>673</v>
      </c>
      <c r="C202" s="122">
        <v>2450</v>
      </c>
      <c r="D202" s="122"/>
      <c r="E202" s="122"/>
      <c r="F202" s="122"/>
      <c r="G202" s="168"/>
      <c r="H202" s="400"/>
      <c r="I202" s="400"/>
      <c r="J202" s="181"/>
      <c r="K202" s="181"/>
      <c r="L202" s="181"/>
      <c r="M202" s="181"/>
      <c r="N202" s="181"/>
      <c r="O202" s="152">
        <f t="shared" si="42"/>
        <v>2450</v>
      </c>
      <c r="P202" s="372"/>
      <c r="Q202" s="333"/>
      <c r="R202" s="344"/>
    </row>
    <row r="203" spans="1:18" ht="15.75" thickBot="1">
      <c r="A203" s="362" t="s">
        <v>38</v>
      </c>
      <c r="B203" s="80" t="s">
        <v>164</v>
      </c>
      <c r="C203" s="103">
        <f>SUM(C204+C205+C206+C207)</f>
        <v>2125930</v>
      </c>
      <c r="D203" s="103">
        <f aca="true" t="shared" si="44" ref="D203:M203">SUM(D204+D205+D206+D207)</f>
        <v>15181</v>
      </c>
      <c r="E203" s="103">
        <f t="shared" si="44"/>
        <v>0</v>
      </c>
      <c r="F203" s="103">
        <f t="shared" si="44"/>
        <v>0</v>
      </c>
      <c r="G203" s="81">
        <f t="shared" si="44"/>
        <v>63975</v>
      </c>
      <c r="H203" s="103">
        <f t="shared" si="44"/>
        <v>305033.6045</v>
      </c>
      <c r="I203" s="103">
        <f t="shared" si="44"/>
        <v>57024</v>
      </c>
      <c r="J203" s="103">
        <f t="shared" si="44"/>
        <v>716110</v>
      </c>
      <c r="K203" s="103">
        <f t="shared" si="44"/>
        <v>23132</v>
      </c>
      <c r="L203" s="103">
        <f t="shared" si="44"/>
        <v>22141</v>
      </c>
      <c r="M203" s="103">
        <f t="shared" si="44"/>
        <v>23131</v>
      </c>
      <c r="N203" s="103">
        <f>SUM(N204+N205+N206+N207)</f>
        <v>45062</v>
      </c>
      <c r="O203" s="82">
        <f t="shared" si="42"/>
        <v>3396719.6045</v>
      </c>
      <c r="P203" s="333"/>
      <c r="Q203" s="333"/>
      <c r="R203" s="344"/>
    </row>
    <row r="204" spans="1:18" ht="18.75" customHeight="1">
      <c r="A204" s="150" t="s">
        <v>268</v>
      </c>
      <c r="B204" s="195" t="s">
        <v>269</v>
      </c>
      <c r="C204" s="148">
        <v>85911</v>
      </c>
      <c r="D204" s="196"/>
      <c r="E204" s="196"/>
      <c r="F204" s="148"/>
      <c r="G204" s="198"/>
      <c r="H204" s="197"/>
      <c r="I204" s="198">
        <v>20</v>
      </c>
      <c r="J204" s="199">
        <v>89080</v>
      </c>
      <c r="K204" s="199"/>
      <c r="L204" s="199"/>
      <c r="M204" s="199"/>
      <c r="N204" s="235"/>
      <c r="O204" s="166">
        <f t="shared" si="42"/>
        <v>175011</v>
      </c>
      <c r="P204" s="333"/>
      <c r="Q204" s="333"/>
      <c r="R204" s="344"/>
    </row>
    <row r="205" spans="1:18" ht="15">
      <c r="A205" s="144" t="s">
        <v>223</v>
      </c>
      <c r="B205" s="145" t="s">
        <v>224</v>
      </c>
      <c r="C205" s="146">
        <v>22132</v>
      </c>
      <c r="D205" s="146"/>
      <c r="E205" s="146"/>
      <c r="F205" s="146"/>
      <c r="G205" s="105">
        <v>1800</v>
      </c>
      <c r="H205" s="105">
        <v>1800</v>
      </c>
      <c r="I205" s="105">
        <v>1800</v>
      </c>
      <c r="J205" s="105">
        <v>1800</v>
      </c>
      <c r="K205" s="37">
        <v>1800</v>
      </c>
      <c r="L205" s="236">
        <v>1800</v>
      </c>
      <c r="M205" s="146">
        <v>1800</v>
      </c>
      <c r="N205" s="146">
        <v>1800</v>
      </c>
      <c r="O205" s="102">
        <f t="shared" si="42"/>
        <v>36532</v>
      </c>
      <c r="P205" s="333"/>
      <c r="Q205" s="333"/>
      <c r="R205" s="344"/>
    </row>
    <row r="206" spans="1:18" ht="15">
      <c r="A206" s="144" t="s">
        <v>165</v>
      </c>
      <c r="B206" s="145" t="s">
        <v>166</v>
      </c>
      <c r="C206" s="146"/>
      <c r="D206" s="86"/>
      <c r="E206" s="86"/>
      <c r="F206" s="104"/>
      <c r="G206" s="118"/>
      <c r="H206" s="118"/>
      <c r="I206" s="118"/>
      <c r="J206" s="107"/>
      <c r="K206" s="107"/>
      <c r="L206" s="107"/>
      <c r="M206" s="107"/>
      <c r="N206" s="128"/>
      <c r="O206" s="152">
        <f t="shared" si="42"/>
        <v>0</v>
      </c>
      <c r="P206" s="333"/>
      <c r="Q206" s="333"/>
      <c r="R206" s="344"/>
    </row>
    <row r="207" spans="1:18" ht="29.25">
      <c r="A207" s="150" t="s">
        <v>167</v>
      </c>
      <c r="B207" s="120" t="s">
        <v>168</v>
      </c>
      <c r="C207" s="151">
        <f>SUM(C208:C222)</f>
        <v>2017887</v>
      </c>
      <c r="D207" s="151">
        <f aca="true" t="shared" si="45" ref="D207:N207">SUM(D208:D222)</f>
        <v>15181</v>
      </c>
      <c r="E207" s="151">
        <f t="shared" si="45"/>
        <v>0</v>
      </c>
      <c r="F207" s="151">
        <f t="shared" si="45"/>
        <v>0</v>
      </c>
      <c r="G207" s="151">
        <f t="shared" si="45"/>
        <v>62175</v>
      </c>
      <c r="H207" s="151">
        <f t="shared" si="45"/>
        <v>303233.6045</v>
      </c>
      <c r="I207" s="151">
        <f t="shared" si="45"/>
        <v>55204</v>
      </c>
      <c r="J207" s="151">
        <f t="shared" si="45"/>
        <v>625230</v>
      </c>
      <c r="K207" s="151">
        <f t="shared" si="45"/>
        <v>21332</v>
      </c>
      <c r="L207" s="151">
        <f t="shared" si="45"/>
        <v>20341</v>
      </c>
      <c r="M207" s="151">
        <f t="shared" si="45"/>
        <v>21331</v>
      </c>
      <c r="N207" s="151">
        <f t="shared" si="45"/>
        <v>43262</v>
      </c>
      <c r="O207" s="152">
        <f>SUM(C207:N207)</f>
        <v>3185176.6045</v>
      </c>
      <c r="P207" s="333"/>
      <c r="Q207" s="333"/>
      <c r="R207" s="344"/>
    </row>
    <row r="208" spans="1:19" ht="15">
      <c r="A208" s="153" t="s">
        <v>363</v>
      </c>
      <c r="B208" s="89" t="s">
        <v>169</v>
      </c>
      <c r="C208" s="90">
        <v>1063012</v>
      </c>
      <c r="D208" s="24">
        <v>15181</v>
      </c>
      <c r="E208" s="24"/>
      <c r="F208" s="90"/>
      <c r="G208" s="95">
        <v>2275</v>
      </c>
      <c r="H208" s="95"/>
      <c r="I208" s="95">
        <v>1437</v>
      </c>
      <c r="J208" s="108">
        <v>3196</v>
      </c>
      <c r="K208" s="108">
        <v>1010</v>
      </c>
      <c r="L208" s="108">
        <v>770</v>
      </c>
      <c r="M208" s="108">
        <v>2860</v>
      </c>
      <c r="N208" s="111">
        <v>520</v>
      </c>
      <c r="O208" s="152">
        <f aca="true" t="shared" si="46" ref="O208:O228">SUM(C208:N208)</f>
        <v>1090261</v>
      </c>
      <c r="P208" s="372"/>
      <c r="Q208" s="333"/>
      <c r="R208" s="344"/>
      <c r="S208" s="83"/>
    </row>
    <row r="209" spans="1:19" ht="15">
      <c r="A209" s="153" t="s">
        <v>364</v>
      </c>
      <c r="B209" s="89" t="s">
        <v>55</v>
      </c>
      <c r="C209" s="90">
        <f>934154+2929</f>
        <v>937083</v>
      </c>
      <c r="D209" s="24"/>
      <c r="E209" s="24"/>
      <c r="F209" s="90"/>
      <c r="G209" s="95">
        <v>59900</v>
      </c>
      <c r="H209" s="95">
        <f>38274-7</f>
        <v>38267</v>
      </c>
      <c r="I209" s="95">
        <v>53217</v>
      </c>
      <c r="J209" s="108">
        <v>52470</v>
      </c>
      <c r="K209" s="108">
        <f>18322+2000</f>
        <v>20322</v>
      </c>
      <c r="L209" s="108">
        <v>19571</v>
      </c>
      <c r="M209" s="108">
        <v>18471</v>
      </c>
      <c r="N209" s="111">
        <v>42742</v>
      </c>
      <c r="O209" s="152">
        <f t="shared" si="46"/>
        <v>1242043</v>
      </c>
      <c r="P209" s="372"/>
      <c r="Q209" s="333"/>
      <c r="R209" s="344"/>
      <c r="S209" s="83"/>
    </row>
    <row r="210" spans="1:19" ht="15">
      <c r="A210" s="153" t="s">
        <v>365</v>
      </c>
      <c r="B210" s="89" t="s">
        <v>226</v>
      </c>
      <c r="C210" s="90"/>
      <c r="D210" s="24"/>
      <c r="E210" s="24"/>
      <c r="F210" s="90"/>
      <c r="G210" s="95"/>
      <c r="H210" s="95">
        <f>SUM('[1]10.70004'!$G$165)</f>
        <v>264966.6045</v>
      </c>
      <c r="I210" s="95"/>
      <c r="J210" s="108"/>
      <c r="K210" s="108"/>
      <c r="L210" s="108"/>
      <c r="M210" s="108"/>
      <c r="N210" s="111"/>
      <c r="O210" s="152">
        <f t="shared" si="46"/>
        <v>264966.6045</v>
      </c>
      <c r="P210" s="372"/>
      <c r="Q210" s="333"/>
      <c r="R210" s="344"/>
      <c r="S210" s="83"/>
    </row>
    <row r="211" spans="1:19" ht="15">
      <c r="A211" s="153" t="s">
        <v>366</v>
      </c>
      <c r="B211" s="89" t="s">
        <v>227</v>
      </c>
      <c r="C211" s="90"/>
      <c r="D211" s="24"/>
      <c r="E211" s="24"/>
      <c r="F211" s="90"/>
      <c r="G211" s="95"/>
      <c r="H211" s="95"/>
      <c r="I211" s="95"/>
      <c r="J211" s="108">
        <f>567044+7</f>
        <v>567051</v>
      </c>
      <c r="K211" s="108"/>
      <c r="L211" s="108"/>
      <c r="M211" s="108"/>
      <c r="N211" s="111"/>
      <c r="O211" s="152">
        <f t="shared" si="46"/>
        <v>567051</v>
      </c>
      <c r="P211" s="372"/>
      <c r="Q211" s="333"/>
      <c r="R211" s="344"/>
      <c r="S211" s="83"/>
    </row>
    <row r="212" spans="1:18" ht="15">
      <c r="A212" s="153" t="s">
        <v>367</v>
      </c>
      <c r="B212" s="89" t="s">
        <v>411</v>
      </c>
      <c r="C212" s="24">
        <v>750</v>
      </c>
      <c r="D212" s="24"/>
      <c r="E212" s="24"/>
      <c r="F212" s="90"/>
      <c r="G212" s="109"/>
      <c r="H212" s="109"/>
      <c r="I212" s="109"/>
      <c r="J212" s="108"/>
      <c r="K212" s="108"/>
      <c r="L212" s="108"/>
      <c r="M212" s="108"/>
      <c r="N212" s="111"/>
      <c r="O212" s="152">
        <f t="shared" si="46"/>
        <v>750</v>
      </c>
      <c r="P212" s="372"/>
      <c r="Q212" s="333"/>
      <c r="R212" s="344"/>
    </row>
    <row r="213" spans="1:18" ht="15">
      <c r="A213" s="153" t="s">
        <v>368</v>
      </c>
      <c r="B213" s="89" t="s">
        <v>170</v>
      </c>
      <c r="C213" s="90">
        <v>432</v>
      </c>
      <c r="D213" s="24"/>
      <c r="E213" s="24"/>
      <c r="F213" s="90"/>
      <c r="G213" s="109"/>
      <c r="H213" s="109"/>
      <c r="I213" s="109"/>
      <c r="J213" s="108"/>
      <c r="K213" s="108"/>
      <c r="L213" s="108"/>
      <c r="M213" s="108"/>
      <c r="N213" s="111"/>
      <c r="O213" s="152">
        <f t="shared" si="46"/>
        <v>432</v>
      </c>
      <c r="P213" s="372"/>
      <c r="Q213" s="333"/>
      <c r="R213" s="344"/>
    </row>
    <row r="214" spans="1:18" ht="15">
      <c r="A214" s="153" t="s">
        <v>369</v>
      </c>
      <c r="B214" s="89" t="s">
        <v>171</v>
      </c>
      <c r="C214" s="90">
        <v>430</v>
      </c>
      <c r="D214" s="24"/>
      <c r="E214" s="24"/>
      <c r="F214" s="90"/>
      <c r="G214" s="109"/>
      <c r="H214" s="109"/>
      <c r="I214" s="109"/>
      <c r="J214" s="108"/>
      <c r="K214" s="108"/>
      <c r="L214" s="108"/>
      <c r="M214" s="108"/>
      <c r="N214" s="111"/>
      <c r="O214" s="152">
        <f t="shared" si="46"/>
        <v>430</v>
      </c>
      <c r="P214" s="372"/>
      <c r="Q214" s="333"/>
      <c r="R214" s="344"/>
    </row>
    <row r="215" spans="1:18" ht="15">
      <c r="A215" s="153" t="s">
        <v>370</v>
      </c>
      <c r="B215" s="89" t="s">
        <v>172</v>
      </c>
      <c r="C215" s="90">
        <v>9950</v>
      </c>
      <c r="D215" s="24"/>
      <c r="E215" s="24"/>
      <c r="F215" s="90"/>
      <c r="G215" s="109"/>
      <c r="H215" s="109"/>
      <c r="I215" s="109"/>
      <c r="J215" s="108"/>
      <c r="K215" s="108"/>
      <c r="L215" s="108"/>
      <c r="M215" s="108"/>
      <c r="N215" s="111"/>
      <c r="O215" s="152">
        <f t="shared" si="46"/>
        <v>9950</v>
      </c>
      <c r="P215" s="372"/>
      <c r="Q215" s="333"/>
      <c r="R215" s="344"/>
    </row>
    <row r="216" spans="1:18" ht="15">
      <c r="A216" s="153" t="s">
        <v>371</v>
      </c>
      <c r="B216" s="89" t="s">
        <v>225</v>
      </c>
      <c r="C216" s="90"/>
      <c r="D216" s="24"/>
      <c r="E216" s="24"/>
      <c r="F216" s="90"/>
      <c r="G216" s="109"/>
      <c r="H216" s="95"/>
      <c r="I216" s="95">
        <v>550</v>
      </c>
      <c r="J216" s="111">
        <v>2513</v>
      </c>
      <c r="K216" s="111"/>
      <c r="L216" s="111"/>
      <c r="M216" s="111"/>
      <c r="N216" s="111"/>
      <c r="O216" s="152">
        <f t="shared" si="46"/>
        <v>3063</v>
      </c>
      <c r="P216" s="372"/>
      <c r="Q216" s="333"/>
      <c r="R216" s="344"/>
    </row>
    <row r="217" spans="1:18" ht="15">
      <c r="A217" s="153" t="s">
        <v>372</v>
      </c>
      <c r="B217" s="89" t="s">
        <v>228</v>
      </c>
      <c r="C217" s="90">
        <v>400</v>
      </c>
      <c r="D217" s="90"/>
      <c r="E217" s="90"/>
      <c r="F217" s="90"/>
      <c r="G217" s="109"/>
      <c r="H217" s="109"/>
      <c r="I217" s="109"/>
      <c r="J217" s="108"/>
      <c r="K217" s="108"/>
      <c r="L217" s="108"/>
      <c r="M217" s="108"/>
      <c r="N217" s="111"/>
      <c r="O217" s="152">
        <f t="shared" si="46"/>
        <v>400</v>
      </c>
      <c r="P217" s="372"/>
      <c r="Q217" s="333"/>
      <c r="R217" s="344"/>
    </row>
    <row r="218" spans="1:18" ht="15">
      <c r="A218" s="153" t="s">
        <v>458</v>
      </c>
      <c r="B218" s="363" t="s">
        <v>457</v>
      </c>
      <c r="C218" s="24">
        <f>1000+1630</f>
        <v>2630</v>
      </c>
      <c r="D218" s="24"/>
      <c r="E218" s="24"/>
      <c r="F218" s="90"/>
      <c r="G218" s="109"/>
      <c r="H218" s="109"/>
      <c r="I218" s="109"/>
      <c r="J218" s="108"/>
      <c r="K218" s="108"/>
      <c r="L218" s="108"/>
      <c r="M218" s="108"/>
      <c r="N218" s="181"/>
      <c r="O218" s="152">
        <f t="shared" si="46"/>
        <v>2630</v>
      </c>
      <c r="P218" s="372"/>
      <c r="Q218" s="333"/>
      <c r="R218" s="344"/>
    </row>
    <row r="219" spans="1:18" ht="15">
      <c r="A219" s="153" t="s">
        <v>382</v>
      </c>
      <c r="B219" s="89" t="s">
        <v>383</v>
      </c>
      <c r="C219" s="24">
        <v>1500</v>
      </c>
      <c r="D219" s="24"/>
      <c r="E219" s="24"/>
      <c r="F219" s="90"/>
      <c r="G219" s="109"/>
      <c r="H219" s="109"/>
      <c r="I219" s="109"/>
      <c r="J219" s="108"/>
      <c r="K219" s="108"/>
      <c r="L219" s="108"/>
      <c r="M219" s="108"/>
      <c r="N219" s="182"/>
      <c r="O219" s="152">
        <f t="shared" si="46"/>
        <v>1500</v>
      </c>
      <c r="P219" s="372"/>
      <c r="Q219" s="333"/>
      <c r="R219" s="344"/>
    </row>
    <row r="220" spans="1:18" ht="15">
      <c r="A220" s="153" t="s">
        <v>567</v>
      </c>
      <c r="B220" s="401" t="s">
        <v>568</v>
      </c>
      <c r="C220" s="90">
        <v>200</v>
      </c>
      <c r="D220" s="90"/>
      <c r="E220" s="90"/>
      <c r="F220" s="90"/>
      <c r="G220" s="109"/>
      <c r="H220" s="109"/>
      <c r="I220" s="109"/>
      <c r="J220" s="111"/>
      <c r="K220" s="111"/>
      <c r="L220" s="111"/>
      <c r="M220" s="111"/>
      <c r="N220" s="182"/>
      <c r="O220" s="152">
        <f t="shared" si="46"/>
        <v>200</v>
      </c>
      <c r="P220" s="372"/>
      <c r="Q220" s="333"/>
      <c r="R220" s="344"/>
    </row>
    <row r="221" spans="1:18" ht="45">
      <c r="A221" s="153" t="s">
        <v>652</v>
      </c>
      <c r="B221" s="355" t="s">
        <v>675</v>
      </c>
      <c r="C221" s="90">
        <v>1200</v>
      </c>
      <c r="D221" s="90"/>
      <c r="E221" s="90"/>
      <c r="F221" s="90"/>
      <c r="G221" s="109"/>
      <c r="H221" s="109"/>
      <c r="I221" s="109"/>
      <c r="J221" s="111"/>
      <c r="K221" s="111"/>
      <c r="L221" s="111"/>
      <c r="M221" s="111"/>
      <c r="N221" s="182"/>
      <c r="O221" s="152">
        <f t="shared" si="46"/>
        <v>1200</v>
      </c>
      <c r="P221" s="372"/>
      <c r="Q221" s="333"/>
      <c r="R221" s="344"/>
    </row>
    <row r="222" spans="1:18" ht="15.75" thickBot="1">
      <c r="A222" s="172" t="s">
        <v>594</v>
      </c>
      <c r="B222" s="399" t="s">
        <v>593</v>
      </c>
      <c r="C222" s="122">
        <v>300</v>
      </c>
      <c r="D222" s="122"/>
      <c r="E222" s="122"/>
      <c r="F222" s="122"/>
      <c r="G222" s="168"/>
      <c r="H222" s="168"/>
      <c r="I222" s="168"/>
      <c r="J222" s="181"/>
      <c r="K222" s="181"/>
      <c r="L222" s="181"/>
      <c r="M222" s="181"/>
      <c r="N222" s="181"/>
      <c r="O222" s="102">
        <f t="shared" si="46"/>
        <v>300</v>
      </c>
      <c r="P222" s="372"/>
      <c r="Q222" s="333"/>
      <c r="R222" s="344"/>
    </row>
    <row r="223" spans="1:17" ht="15.75" thickBot="1">
      <c r="A223" s="200"/>
      <c r="B223" s="201" t="s">
        <v>57</v>
      </c>
      <c r="C223" s="103">
        <f aca="true" t="shared" si="47" ref="C223:N223">C59+C69+C75+C98+C111+C132+C136+C160+C203</f>
        <v>32646401</v>
      </c>
      <c r="D223" s="103">
        <f t="shared" si="47"/>
        <v>11580835</v>
      </c>
      <c r="E223" s="103">
        <f t="shared" si="47"/>
        <v>1359930</v>
      </c>
      <c r="F223" s="103">
        <f t="shared" si="47"/>
        <v>345509</v>
      </c>
      <c r="G223" s="81">
        <f t="shared" si="47"/>
        <v>1827080</v>
      </c>
      <c r="H223" s="81">
        <f t="shared" si="47"/>
        <v>684989.6045</v>
      </c>
      <c r="I223" s="81">
        <f t="shared" si="47"/>
        <v>851920</v>
      </c>
      <c r="J223" s="103">
        <f t="shared" si="47"/>
        <v>2708264</v>
      </c>
      <c r="K223" s="103">
        <f t="shared" si="47"/>
        <v>212036</v>
      </c>
      <c r="L223" s="103">
        <f t="shared" si="47"/>
        <v>242589</v>
      </c>
      <c r="M223" s="103">
        <f t="shared" si="47"/>
        <v>322264</v>
      </c>
      <c r="N223" s="103">
        <f t="shared" si="47"/>
        <v>803494</v>
      </c>
      <c r="O223" s="82">
        <f t="shared" si="46"/>
        <v>53585311.6045</v>
      </c>
      <c r="P223" s="333"/>
      <c r="Q223" s="333"/>
    </row>
    <row r="224" spans="1:17" ht="15">
      <c r="A224" s="135" t="s">
        <v>229</v>
      </c>
      <c r="B224" s="202" t="s">
        <v>670</v>
      </c>
      <c r="C224" s="203">
        <f>1464679+739730</f>
        <v>2204409</v>
      </c>
      <c r="D224" s="203"/>
      <c r="E224" s="203"/>
      <c r="F224" s="41">
        <v>7406</v>
      </c>
      <c r="G224" s="204">
        <f>10407-169</f>
        <v>10238</v>
      </c>
      <c r="H224" s="70">
        <v>8645</v>
      </c>
      <c r="I224" s="70">
        <v>24739</v>
      </c>
      <c r="J224" s="70">
        <v>33956</v>
      </c>
      <c r="K224" s="70"/>
      <c r="L224" s="70">
        <v>15692</v>
      </c>
      <c r="M224" s="70">
        <v>19172</v>
      </c>
      <c r="N224" s="70">
        <v>25754</v>
      </c>
      <c r="O224" s="41">
        <f t="shared" si="46"/>
        <v>2350011</v>
      </c>
      <c r="P224" s="333"/>
      <c r="Q224" s="333"/>
    </row>
    <row r="225" spans="1:17" ht="15">
      <c r="A225" s="135" t="s">
        <v>569</v>
      </c>
      <c r="B225" s="202" t="s">
        <v>570</v>
      </c>
      <c r="C225" s="203"/>
      <c r="D225" s="203"/>
      <c r="E225" s="203"/>
      <c r="F225" s="41"/>
      <c r="G225" s="70"/>
      <c r="H225" s="70"/>
      <c r="I225" s="70"/>
      <c r="J225" s="70"/>
      <c r="K225" s="70"/>
      <c r="L225" s="70"/>
      <c r="M225" s="70"/>
      <c r="N225" s="70"/>
      <c r="O225" s="41">
        <f t="shared" si="46"/>
        <v>0</v>
      </c>
      <c r="P225" s="334"/>
      <c r="Q225" s="334"/>
    </row>
    <row r="226" spans="1:17" ht="43.5">
      <c r="A226" s="135" t="s">
        <v>571</v>
      </c>
      <c r="B226" s="214" t="s">
        <v>572</v>
      </c>
      <c r="C226" s="203"/>
      <c r="D226" s="203"/>
      <c r="E226" s="203"/>
      <c r="F226" s="41"/>
      <c r="G226" s="70"/>
      <c r="H226" s="70"/>
      <c r="I226" s="70"/>
      <c r="J226" s="70"/>
      <c r="K226" s="70"/>
      <c r="L226" s="70"/>
      <c r="M226" s="70"/>
      <c r="N226" s="70"/>
      <c r="O226" s="41"/>
      <c r="P226" s="334"/>
      <c r="Q226" s="334"/>
    </row>
    <row r="227" spans="2:17" ht="15">
      <c r="B227" s="66"/>
      <c r="C227" s="83"/>
      <c r="D227" s="83"/>
      <c r="E227" s="83"/>
      <c r="F227" s="32"/>
      <c r="O227" s="41">
        <f t="shared" si="46"/>
        <v>0</v>
      </c>
      <c r="P227" s="334"/>
      <c r="Q227" s="334"/>
    </row>
    <row r="228" spans="1:17" ht="30">
      <c r="A228" s="17" t="s">
        <v>470</v>
      </c>
      <c r="B228" s="8" t="s">
        <v>671</v>
      </c>
      <c r="C228" s="83">
        <v>960000</v>
      </c>
      <c r="D228" s="83">
        <v>1541920</v>
      </c>
      <c r="E228" s="83"/>
      <c r="F228" s="32">
        <v>1486</v>
      </c>
      <c r="G228" s="66">
        <f>1943+5753-169-1046</f>
        <v>6481</v>
      </c>
      <c r="H228" s="66">
        <v>1726</v>
      </c>
      <c r="J228" s="66">
        <v>129061</v>
      </c>
      <c r="N228" s="66">
        <v>1728</v>
      </c>
      <c r="O228" s="41">
        <f t="shared" si="46"/>
        <v>2642402</v>
      </c>
      <c r="P228" s="334"/>
      <c r="Q228" s="334"/>
    </row>
    <row r="229" spans="1:17" ht="30">
      <c r="A229" s="205" t="s">
        <v>373</v>
      </c>
      <c r="B229" s="206" t="s">
        <v>374</v>
      </c>
      <c r="C229" s="41">
        <f aca="true" t="shared" si="48" ref="C229:N229">C46-C223-C224-C225-C226-C228</f>
        <v>8801009</v>
      </c>
      <c r="D229" s="41">
        <f t="shared" si="48"/>
        <v>-2070466</v>
      </c>
      <c r="E229" s="41">
        <f t="shared" si="48"/>
        <v>-1073421</v>
      </c>
      <c r="F229" s="41">
        <f t="shared" si="48"/>
        <v>-93587</v>
      </c>
      <c r="G229" s="41">
        <f t="shared" si="48"/>
        <v>-1506245</v>
      </c>
      <c r="H229" s="41">
        <f t="shared" si="48"/>
        <v>-439752.6045</v>
      </c>
      <c r="I229" s="41">
        <f t="shared" si="48"/>
        <v>-648850</v>
      </c>
      <c r="J229" s="41">
        <f t="shared" si="48"/>
        <v>-1660457</v>
      </c>
      <c r="K229" s="41">
        <f t="shared" si="48"/>
        <v>-135005</v>
      </c>
      <c r="L229" s="41">
        <f t="shared" si="48"/>
        <v>-196849</v>
      </c>
      <c r="M229" s="41">
        <f t="shared" si="48"/>
        <v>-264976</v>
      </c>
      <c r="N229" s="41">
        <f t="shared" si="48"/>
        <v>-711400</v>
      </c>
      <c r="O229" s="41">
        <f>SUM(C229:N229)</f>
        <v>0.39550000010058284</v>
      </c>
      <c r="P229" s="334"/>
      <c r="Q229" s="334"/>
    </row>
    <row r="230" spans="1:17" ht="15">
      <c r="A230" s="205"/>
      <c r="B230" s="206"/>
      <c r="C230" s="41"/>
      <c r="D230" s="41">
        <v>-2077592</v>
      </c>
      <c r="E230" s="41"/>
      <c r="F230" s="41"/>
      <c r="G230" s="41"/>
      <c r="H230" s="41"/>
      <c r="I230" s="41"/>
      <c r="J230" s="41"/>
      <c r="K230" s="41"/>
      <c r="L230" s="41"/>
      <c r="M230" s="41"/>
      <c r="N230" s="41"/>
      <c r="O230" s="41"/>
      <c r="P230" s="334"/>
      <c r="Q230" s="334"/>
    </row>
    <row r="231" spans="2:17" ht="15">
      <c r="B231" s="364"/>
      <c r="C231" s="41"/>
      <c r="D231" s="41">
        <v>7126</v>
      </c>
      <c r="E231" s="41"/>
      <c r="F231" s="41"/>
      <c r="G231" s="41"/>
      <c r="H231" s="365"/>
      <c r="I231" s="41"/>
      <c r="J231" s="365"/>
      <c r="K231" s="41"/>
      <c r="L231" s="41"/>
      <c r="M231" s="41"/>
      <c r="N231" s="41"/>
      <c r="O231" s="366"/>
      <c r="P231" s="334"/>
      <c r="Q231" s="334"/>
    </row>
    <row r="232" spans="2:17" ht="15">
      <c r="B232" s="139" t="s">
        <v>464</v>
      </c>
      <c r="D232" s="68" t="s">
        <v>59</v>
      </c>
      <c r="O232" s="207">
        <f>O229-O32</f>
        <v>0.39550000010058284</v>
      </c>
      <c r="P232" s="334"/>
      <c r="Q232" s="334"/>
    </row>
    <row r="233" spans="2:17" ht="15">
      <c r="B233" s="139"/>
      <c r="P233" s="334"/>
      <c r="Q233" s="334"/>
    </row>
    <row r="234" spans="2:17" ht="15">
      <c r="B234" s="139"/>
      <c r="F234" s="83"/>
      <c r="G234" s="83"/>
      <c r="H234" s="83"/>
      <c r="I234" s="83"/>
      <c r="J234" s="83"/>
      <c r="K234" s="83"/>
      <c r="L234" s="83"/>
      <c r="M234" s="83"/>
      <c r="N234" s="83"/>
      <c r="P234" s="334"/>
      <c r="Q234" s="334"/>
    </row>
    <row r="235" spans="1:17" ht="44.25" customHeight="1" thickBot="1">
      <c r="A235" s="418" t="s">
        <v>573</v>
      </c>
      <c r="B235" s="418"/>
      <c r="C235" s="418"/>
      <c r="D235" s="418"/>
      <c r="E235" s="83"/>
      <c r="F235" s="83"/>
      <c r="P235" s="334"/>
      <c r="Q235" s="334"/>
    </row>
    <row r="236" spans="1:17" ht="105.75" thickBot="1">
      <c r="A236" s="74" t="s">
        <v>45</v>
      </c>
      <c r="B236" s="75" t="s">
        <v>190</v>
      </c>
      <c r="C236" s="215" t="s">
        <v>487</v>
      </c>
      <c r="D236" s="216" t="s">
        <v>488</v>
      </c>
      <c r="E236" s="76" t="s">
        <v>489</v>
      </c>
      <c r="F236" s="76" t="s">
        <v>490</v>
      </c>
      <c r="G236" s="77" t="s">
        <v>491</v>
      </c>
      <c r="H236" s="77" t="s">
        <v>492</v>
      </c>
      <c r="I236" s="77" t="s">
        <v>493</v>
      </c>
      <c r="J236" s="77" t="s">
        <v>494</v>
      </c>
      <c r="K236" s="77" t="s">
        <v>495</v>
      </c>
      <c r="L236" s="77" t="s">
        <v>496</v>
      </c>
      <c r="M236" s="77" t="s">
        <v>497</v>
      </c>
      <c r="N236" s="217" t="s">
        <v>498</v>
      </c>
      <c r="O236" s="78" t="s">
        <v>499</v>
      </c>
      <c r="P236" s="139"/>
      <c r="Q236" s="139"/>
    </row>
    <row r="237" spans="1:17" ht="15">
      <c r="A237" s="208">
        <v>1100</v>
      </c>
      <c r="B237" s="115" t="s">
        <v>253</v>
      </c>
      <c r="C237" s="367">
        <f>9565054-6551</f>
        <v>9558503</v>
      </c>
      <c r="D237" s="367">
        <v>2632918</v>
      </c>
      <c r="E237" s="367">
        <v>615423</v>
      </c>
      <c r="F237" s="367">
        <v>65907</v>
      </c>
      <c r="G237" s="368">
        <f>907275+3245</f>
        <v>910520</v>
      </c>
      <c r="H237" s="369">
        <v>262634</v>
      </c>
      <c r="I237" s="367">
        <v>362153</v>
      </c>
      <c r="J237" s="367">
        <v>1294322</v>
      </c>
      <c r="K237" s="367">
        <v>79060</v>
      </c>
      <c r="L237" s="367">
        <v>120502</v>
      </c>
      <c r="M237" s="367">
        <v>138433</v>
      </c>
      <c r="N237" s="367">
        <f>426848+2310</f>
        <v>429158</v>
      </c>
      <c r="O237" s="149">
        <f aca="true" t="shared" si="49" ref="O237:O256">SUM(C237:N237)</f>
        <v>16469533</v>
      </c>
      <c r="P237" s="334"/>
      <c r="Q237" s="334"/>
    </row>
    <row r="238" spans="1:17" ht="45">
      <c r="A238" s="119">
        <v>1200</v>
      </c>
      <c r="B238" s="89" t="s">
        <v>375</v>
      </c>
      <c r="C238" s="24">
        <f>2883816+277</f>
        <v>2884093</v>
      </c>
      <c r="D238" s="24">
        <v>621104</v>
      </c>
      <c r="E238" s="24">
        <v>175850</v>
      </c>
      <c r="F238" s="24">
        <v>19143</v>
      </c>
      <c r="G238" s="370">
        <f>276198+765</f>
        <v>276963</v>
      </c>
      <c r="H238" s="27">
        <v>78577</v>
      </c>
      <c r="I238" s="24">
        <v>108789</v>
      </c>
      <c r="J238" s="24">
        <v>385226</v>
      </c>
      <c r="K238" s="24">
        <v>25281</v>
      </c>
      <c r="L238" s="24">
        <v>36021</v>
      </c>
      <c r="M238" s="24">
        <v>39347</v>
      </c>
      <c r="N238" s="24">
        <f>147964+545</f>
        <v>148509</v>
      </c>
      <c r="O238" s="152">
        <f>SUM(C238:N238)</f>
        <v>4798903</v>
      </c>
      <c r="P238" s="334"/>
      <c r="Q238" s="334"/>
    </row>
    <row r="239" spans="1:17" ht="15">
      <c r="A239" s="119">
        <v>2000</v>
      </c>
      <c r="B239" s="89" t="s">
        <v>230</v>
      </c>
      <c r="C239" s="24">
        <f>SUM(C240:C245)</f>
        <v>4474024</v>
      </c>
      <c r="D239" s="24">
        <f>SUM(D240:D245)</f>
        <v>7720086</v>
      </c>
      <c r="E239" s="24">
        <f>SUM(E240:E245)</f>
        <v>490636</v>
      </c>
      <c r="F239" s="24">
        <f aca="true" t="shared" si="50" ref="F239:N239">SUM(F240:F245)</f>
        <v>257318</v>
      </c>
      <c r="G239" s="24">
        <f t="shared" si="50"/>
        <v>505906</v>
      </c>
      <c r="H239" s="24">
        <f t="shared" si="50"/>
        <v>254960</v>
      </c>
      <c r="I239" s="24">
        <f t="shared" si="50"/>
        <v>275184</v>
      </c>
      <c r="J239" s="24">
        <f t="shared" si="50"/>
        <v>827616</v>
      </c>
      <c r="K239" s="24">
        <f t="shared" si="50"/>
        <v>81308</v>
      </c>
      <c r="L239" s="24">
        <f t="shared" si="50"/>
        <v>62297</v>
      </c>
      <c r="M239" s="24">
        <f t="shared" si="50"/>
        <v>88073</v>
      </c>
      <c r="N239" s="24">
        <f t="shared" si="50"/>
        <v>171757</v>
      </c>
      <c r="O239" s="152">
        <f>SUM(C239:N239)</f>
        <v>15209165</v>
      </c>
      <c r="P239" s="334"/>
      <c r="Q239" s="334"/>
    </row>
    <row r="240" spans="1:17" ht="30">
      <c r="A240" s="119">
        <v>2100</v>
      </c>
      <c r="B240" s="89" t="s">
        <v>574</v>
      </c>
      <c r="C240" s="24">
        <f>57538-2279+1624</f>
        <v>56883</v>
      </c>
      <c r="D240" s="24">
        <v>5000</v>
      </c>
      <c r="E240" s="24">
        <v>1488</v>
      </c>
      <c r="F240" s="24"/>
      <c r="G240" s="370">
        <v>812</v>
      </c>
      <c r="H240" s="24">
        <v>660</v>
      </c>
      <c r="I240" s="24">
        <v>368</v>
      </c>
      <c r="J240" s="24">
        <v>723</v>
      </c>
      <c r="K240" s="24">
        <v>10</v>
      </c>
      <c r="L240" s="24">
        <v>140</v>
      </c>
      <c r="M240" s="232">
        <v>1150</v>
      </c>
      <c r="N240" s="24">
        <v>710</v>
      </c>
      <c r="O240" s="152">
        <f t="shared" si="49"/>
        <v>67944</v>
      </c>
      <c r="P240" s="334"/>
      <c r="Q240" s="334"/>
    </row>
    <row r="241" spans="1:17" ht="15">
      <c r="A241" s="119">
        <v>2200</v>
      </c>
      <c r="B241" s="89" t="s">
        <v>232</v>
      </c>
      <c r="C241" s="24">
        <f>3438278-188124</f>
        <v>3250154</v>
      </c>
      <c r="D241" s="24">
        <v>4275171</v>
      </c>
      <c r="E241" s="24">
        <v>333842</v>
      </c>
      <c r="F241" s="24">
        <v>229560</v>
      </c>
      <c r="G241" s="370">
        <v>293034</v>
      </c>
      <c r="H241" s="24">
        <v>116084</v>
      </c>
      <c r="I241" s="24">
        <v>149145</v>
      </c>
      <c r="J241" s="232">
        <v>528941</v>
      </c>
      <c r="K241" s="24">
        <v>56268</v>
      </c>
      <c r="L241" s="24">
        <v>42383</v>
      </c>
      <c r="M241" s="232">
        <v>43044</v>
      </c>
      <c r="N241" s="24">
        <v>78748</v>
      </c>
      <c r="O241" s="152">
        <f t="shared" si="49"/>
        <v>9396374</v>
      </c>
      <c r="P241" s="334"/>
      <c r="Q241" s="334"/>
    </row>
    <row r="242" spans="1:17" ht="30">
      <c r="A242" s="119">
        <v>2300</v>
      </c>
      <c r="B242" s="89" t="s">
        <v>233</v>
      </c>
      <c r="C242" s="24">
        <f>1070234-14090</f>
        <v>1056144</v>
      </c>
      <c r="D242" s="24">
        <v>3238298</v>
      </c>
      <c r="E242" s="24">
        <v>151306</v>
      </c>
      <c r="F242" s="24">
        <v>14830</v>
      </c>
      <c r="G242" s="370">
        <f>207835+1050</f>
        <v>208885</v>
      </c>
      <c r="H242" s="24">
        <v>131066</v>
      </c>
      <c r="I242" s="24">
        <v>120971</v>
      </c>
      <c r="J242" s="232">
        <f>288037+7</f>
        <v>288044</v>
      </c>
      <c r="K242" s="24">
        <v>22660</v>
      </c>
      <c r="L242" s="24">
        <v>18304</v>
      </c>
      <c r="M242" s="232">
        <v>42729</v>
      </c>
      <c r="N242" s="24">
        <v>88166</v>
      </c>
      <c r="O242" s="152">
        <f>SUM(C242:N242)</f>
        <v>5381403</v>
      </c>
      <c r="P242" s="334"/>
      <c r="Q242" s="334"/>
    </row>
    <row r="243" spans="1:17" ht="15">
      <c r="A243" s="119">
        <v>2400</v>
      </c>
      <c r="B243" s="89" t="s">
        <v>234</v>
      </c>
      <c r="C243" s="24">
        <v>5450</v>
      </c>
      <c r="D243" s="24"/>
      <c r="E243" s="24"/>
      <c r="F243" s="24"/>
      <c r="G243" s="370">
        <v>1862</v>
      </c>
      <c r="H243" s="24">
        <v>810</v>
      </c>
      <c r="I243" s="24">
        <v>500</v>
      </c>
      <c r="J243" s="24">
        <v>1400</v>
      </c>
      <c r="K243" s="24">
        <v>620</v>
      </c>
      <c r="L243" s="24">
        <v>500</v>
      </c>
      <c r="M243" s="24">
        <v>650</v>
      </c>
      <c r="N243" s="24">
        <v>1320</v>
      </c>
      <c r="O243" s="152">
        <f t="shared" si="49"/>
        <v>13112</v>
      </c>
      <c r="P243" s="334"/>
      <c r="Q243" s="334"/>
    </row>
    <row r="244" spans="1:17" ht="15">
      <c r="A244" s="119">
        <v>2500</v>
      </c>
      <c r="B244" s="89" t="s">
        <v>235</v>
      </c>
      <c r="C244" s="24">
        <f>33050+343</f>
        <v>33393</v>
      </c>
      <c r="D244" s="24">
        <v>201617</v>
      </c>
      <c r="E244" s="24">
        <v>4000</v>
      </c>
      <c r="F244" s="24">
        <v>12928</v>
      </c>
      <c r="G244" s="370">
        <v>1313</v>
      </c>
      <c r="H244" s="24">
        <v>6340</v>
      </c>
      <c r="I244" s="24">
        <v>4200</v>
      </c>
      <c r="J244" s="24">
        <v>8508</v>
      </c>
      <c r="K244" s="24">
        <v>1750</v>
      </c>
      <c r="L244" s="24">
        <v>970</v>
      </c>
      <c r="M244" s="24">
        <v>500</v>
      </c>
      <c r="N244" s="24">
        <v>2813</v>
      </c>
      <c r="O244" s="152">
        <f t="shared" si="49"/>
        <v>278332</v>
      </c>
      <c r="P244" s="334"/>
      <c r="Q244" s="334"/>
    </row>
    <row r="245" spans="1:17" ht="45">
      <c r="A245" s="119">
        <v>2800</v>
      </c>
      <c r="B245" s="89" t="s">
        <v>376</v>
      </c>
      <c r="C245" s="24">
        <v>72000</v>
      </c>
      <c r="D245" s="24"/>
      <c r="E245" s="24"/>
      <c r="F245" s="24"/>
      <c r="G245" s="370"/>
      <c r="H245" s="24"/>
      <c r="I245" s="24"/>
      <c r="J245" s="24"/>
      <c r="K245" s="24"/>
      <c r="L245" s="24"/>
      <c r="M245" s="24"/>
      <c r="N245" s="24"/>
      <c r="O245" s="152">
        <f t="shared" si="49"/>
        <v>72000</v>
      </c>
      <c r="P245" s="334"/>
      <c r="Q245" s="334"/>
    </row>
    <row r="246" spans="1:17" ht="30">
      <c r="A246" s="119">
        <v>3200</v>
      </c>
      <c r="B246" s="89" t="s">
        <v>377</v>
      </c>
      <c r="C246" s="24">
        <f>193830+27627</f>
        <v>221457</v>
      </c>
      <c r="D246" s="24"/>
      <c r="E246" s="24"/>
      <c r="F246" s="24"/>
      <c r="G246" s="370"/>
      <c r="H246" s="24"/>
      <c r="I246" s="24"/>
      <c r="J246" s="24"/>
      <c r="K246" s="24"/>
      <c r="L246" s="24"/>
      <c r="M246" s="24"/>
      <c r="N246" s="24"/>
      <c r="O246" s="152">
        <f t="shared" si="49"/>
        <v>221457</v>
      </c>
      <c r="P246" s="334"/>
      <c r="Q246" s="334"/>
    </row>
    <row r="247" spans="1:17" ht="15">
      <c r="A247" s="119">
        <v>4300</v>
      </c>
      <c r="B247" s="89" t="s">
        <v>236</v>
      </c>
      <c r="C247" s="24">
        <v>58017</v>
      </c>
      <c r="D247" s="24"/>
      <c r="E247" s="24"/>
      <c r="F247" s="24">
        <v>192</v>
      </c>
      <c r="G247" s="370">
        <v>1821</v>
      </c>
      <c r="H247" s="24">
        <v>410</v>
      </c>
      <c r="I247" s="24">
        <v>3805</v>
      </c>
      <c r="J247" s="24">
        <v>334</v>
      </c>
      <c r="K247" s="24"/>
      <c r="L247" s="24">
        <v>200</v>
      </c>
      <c r="M247" s="24">
        <v>500</v>
      </c>
      <c r="N247" s="24">
        <v>607</v>
      </c>
      <c r="O247" s="152">
        <f t="shared" si="49"/>
        <v>65886</v>
      </c>
      <c r="P247" s="334"/>
      <c r="Q247" s="334"/>
    </row>
    <row r="248" spans="1:17" ht="15">
      <c r="A248" s="119">
        <v>5100</v>
      </c>
      <c r="B248" s="89" t="s">
        <v>178</v>
      </c>
      <c r="C248" s="24">
        <f>80799-3000</f>
        <v>77799</v>
      </c>
      <c r="D248" s="24">
        <v>1241</v>
      </c>
      <c r="E248" s="24">
        <v>684</v>
      </c>
      <c r="F248" s="24">
        <v>235</v>
      </c>
      <c r="G248" s="370"/>
      <c r="H248" s="24">
        <v>440</v>
      </c>
      <c r="I248" s="24">
        <v>200</v>
      </c>
      <c r="J248" s="24">
        <v>1126</v>
      </c>
      <c r="K248" s="24"/>
      <c r="L248" s="24"/>
      <c r="M248" s="24"/>
      <c r="N248" s="24"/>
      <c r="O248" s="152">
        <f t="shared" si="49"/>
        <v>81725</v>
      </c>
      <c r="P248" s="334"/>
      <c r="Q248" s="334"/>
    </row>
    <row r="249" spans="1:17" ht="15">
      <c r="A249" s="119">
        <v>5200</v>
      </c>
      <c r="B249" s="89" t="s">
        <v>237</v>
      </c>
      <c r="C249" s="24">
        <f>13510458+2279+222433</f>
        <v>13735170</v>
      </c>
      <c r="D249" s="24">
        <v>605486</v>
      </c>
      <c r="E249" s="24">
        <v>77337</v>
      </c>
      <c r="F249" s="24">
        <v>2714</v>
      </c>
      <c r="G249" s="370">
        <v>70170</v>
      </c>
      <c r="H249" s="24">
        <v>47902</v>
      </c>
      <c r="I249" s="24">
        <v>46772</v>
      </c>
      <c r="J249" s="24">
        <v>136099</v>
      </c>
      <c r="K249" s="24">
        <v>4265</v>
      </c>
      <c r="L249" s="24">
        <v>2198</v>
      </c>
      <c r="M249" s="24">
        <f>11765+21175</f>
        <v>32940</v>
      </c>
      <c r="N249" s="24">
        <v>8921</v>
      </c>
      <c r="O249" s="152">
        <f t="shared" si="49"/>
        <v>14769974</v>
      </c>
      <c r="P249" s="334"/>
      <c r="Q249" s="334"/>
    </row>
    <row r="250" spans="1:17" ht="15">
      <c r="A250" s="119">
        <v>6200</v>
      </c>
      <c r="B250" s="89" t="s">
        <v>238</v>
      </c>
      <c r="C250" s="24">
        <f>281046+2929</f>
        <v>283975</v>
      </c>
      <c r="D250" s="24"/>
      <c r="E250" s="24"/>
      <c r="F250" s="24"/>
      <c r="G250" s="370">
        <v>33775</v>
      </c>
      <c r="H250" s="24">
        <v>20974</v>
      </c>
      <c r="I250" s="24">
        <v>37563</v>
      </c>
      <c r="J250" s="24">
        <v>19635</v>
      </c>
      <c r="K250" s="24">
        <v>20348</v>
      </c>
      <c r="L250" s="24">
        <v>16871</v>
      </c>
      <c r="M250" s="24">
        <v>20271</v>
      </c>
      <c r="N250" s="24">
        <v>34742</v>
      </c>
      <c r="O250" s="152">
        <f t="shared" si="49"/>
        <v>488154</v>
      </c>
      <c r="P250" s="334"/>
      <c r="Q250" s="334"/>
    </row>
    <row r="251" spans="1:17" ht="15">
      <c r="A251" s="119">
        <v>6300</v>
      </c>
      <c r="B251" s="89" t="s">
        <v>239</v>
      </c>
      <c r="C251" s="24">
        <v>463000</v>
      </c>
      <c r="D251" s="24"/>
      <c r="E251" s="24"/>
      <c r="F251" s="24"/>
      <c r="G251" s="370">
        <v>9163</v>
      </c>
      <c r="H251" s="24">
        <v>5562</v>
      </c>
      <c r="I251" s="24">
        <v>8390</v>
      </c>
      <c r="J251" s="24">
        <v>22174</v>
      </c>
      <c r="K251" s="24">
        <v>1774</v>
      </c>
      <c r="L251" s="24"/>
      <c r="M251" s="24"/>
      <c r="N251" s="24"/>
      <c r="O251" s="152">
        <f t="shared" si="49"/>
        <v>510063</v>
      </c>
      <c r="P251" s="334"/>
      <c r="Q251" s="334"/>
    </row>
    <row r="252" spans="1:17" ht="30">
      <c r="A252" s="119">
        <v>6400</v>
      </c>
      <c r="B252" s="89" t="s">
        <v>378</v>
      </c>
      <c r="C252" s="24">
        <v>221834</v>
      </c>
      <c r="D252" s="24"/>
      <c r="E252" s="24"/>
      <c r="F252" s="24"/>
      <c r="G252" s="370">
        <v>18762</v>
      </c>
      <c r="H252" s="24">
        <v>13531</v>
      </c>
      <c r="I252" s="24">
        <v>8434</v>
      </c>
      <c r="J252" s="24">
        <v>13336</v>
      </c>
      <c r="K252" s="24"/>
      <c r="L252" s="24">
        <v>4500</v>
      </c>
      <c r="M252" s="24"/>
      <c r="N252" s="24">
        <v>9800</v>
      </c>
      <c r="O252" s="152">
        <f t="shared" si="49"/>
        <v>290197</v>
      </c>
      <c r="P252" s="334"/>
      <c r="Q252" s="334"/>
    </row>
    <row r="253" spans="1:17" ht="30">
      <c r="A253" s="119">
        <v>6500</v>
      </c>
      <c r="B253" s="89" t="s">
        <v>575</v>
      </c>
      <c r="C253" s="24">
        <v>29</v>
      </c>
      <c r="D253" s="24"/>
      <c r="E253" s="24"/>
      <c r="F253" s="24"/>
      <c r="G253" s="370"/>
      <c r="H253" s="24"/>
      <c r="I253" s="24">
        <v>630</v>
      </c>
      <c r="J253" s="24"/>
      <c r="K253" s="24"/>
      <c r="L253" s="24"/>
      <c r="M253" s="24"/>
      <c r="N253" s="24"/>
      <c r="O253" s="152">
        <f t="shared" si="49"/>
        <v>659</v>
      </c>
      <c r="P253" s="334"/>
      <c r="Q253" s="334"/>
    </row>
    <row r="254" spans="1:17" ht="15">
      <c r="A254" s="119">
        <v>7200</v>
      </c>
      <c r="B254" s="89" t="s">
        <v>379</v>
      </c>
      <c r="C254" s="24">
        <v>668500</v>
      </c>
      <c r="D254" s="24"/>
      <c r="E254" s="24"/>
      <c r="F254" s="24"/>
      <c r="G254" s="370"/>
      <c r="H254" s="24"/>
      <c r="I254" s="24"/>
      <c r="J254" s="24">
        <v>8396</v>
      </c>
      <c r="K254" s="24"/>
      <c r="L254" s="24"/>
      <c r="M254" s="24">
        <v>2700</v>
      </c>
      <c r="N254" s="24"/>
      <c r="O254" s="152">
        <f>SUM(C254:N254)</f>
        <v>679596</v>
      </c>
      <c r="P254" s="334"/>
      <c r="Q254" s="334"/>
    </row>
    <row r="255" spans="1:17" ht="15">
      <c r="A255" s="119">
        <v>7700</v>
      </c>
      <c r="B255" s="89" t="s">
        <v>449</v>
      </c>
      <c r="C255" s="24"/>
      <c r="D255" s="24"/>
      <c r="E255" s="24"/>
      <c r="F255" s="24"/>
      <c r="G255" s="370"/>
      <c r="H255" s="24"/>
      <c r="I255" s="24"/>
      <c r="J255" s="24"/>
      <c r="K255" s="24"/>
      <c r="L255" s="24"/>
      <c r="M255" s="24"/>
      <c r="N255" s="91"/>
      <c r="O255" s="152">
        <f>SUM(C255:N255)</f>
        <v>0</v>
      </c>
      <c r="P255" s="334"/>
      <c r="Q255" s="334"/>
    </row>
    <row r="256" spans="1:17" ht="30.75" thickBot="1">
      <c r="A256" s="112">
        <v>9000</v>
      </c>
      <c r="B256" s="237" t="s">
        <v>576</v>
      </c>
      <c r="C256" s="116"/>
      <c r="D256" s="116"/>
      <c r="E256" s="116"/>
      <c r="F256" s="116"/>
      <c r="G256" s="371"/>
      <c r="H256" s="116"/>
      <c r="I256" s="116"/>
      <c r="J256" s="116"/>
      <c r="K256" s="116"/>
      <c r="L256" s="116"/>
      <c r="M256" s="116"/>
      <c r="N256" s="223"/>
      <c r="O256" s="152">
        <f t="shared" si="49"/>
        <v>0</v>
      </c>
      <c r="P256" s="334"/>
      <c r="Q256" s="334"/>
    </row>
    <row r="257" spans="1:17" ht="15.75" thickBot="1">
      <c r="A257" s="200"/>
      <c r="B257" s="210" t="s">
        <v>240</v>
      </c>
      <c r="C257" s="238">
        <f aca="true" t="shared" si="51" ref="C257:N257">SUM(C237:C239,C246:C256)</f>
        <v>32646401</v>
      </c>
      <c r="D257" s="238">
        <f t="shared" si="51"/>
        <v>11580835</v>
      </c>
      <c r="E257" s="238">
        <f t="shared" si="51"/>
        <v>1359930</v>
      </c>
      <c r="F257" s="238">
        <f t="shared" si="51"/>
        <v>345509</v>
      </c>
      <c r="G257" s="238">
        <f t="shared" si="51"/>
        <v>1827080</v>
      </c>
      <c r="H257" s="238">
        <f t="shared" si="51"/>
        <v>684990</v>
      </c>
      <c r="I257" s="238">
        <f t="shared" si="51"/>
        <v>851920</v>
      </c>
      <c r="J257" s="238">
        <f t="shared" si="51"/>
        <v>2708264</v>
      </c>
      <c r="K257" s="238">
        <f t="shared" si="51"/>
        <v>212036</v>
      </c>
      <c r="L257" s="238">
        <f t="shared" si="51"/>
        <v>242589</v>
      </c>
      <c r="M257" s="238">
        <f t="shared" si="51"/>
        <v>322264</v>
      </c>
      <c r="N257" s="238">
        <f t="shared" si="51"/>
        <v>803494</v>
      </c>
      <c r="O257" s="82">
        <f>SUM(C257:N257)</f>
        <v>53585312</v>
      </c>
      <c r="P257" s="334"/>
      <c r="Q257" s="334"/>
    </row>
    <row r="258" spans="2:6" ht="15">
      <c r="B258" s="211"/>
      <c r="C258" s="73"/>
      <c r="D258" s="32"/>
      <c r="E258" s="83"/>
      <c r="F258" s="83"/>
    </row>
    <row r="259" spans="2:15" ht="15">
      <c r="B259" s="211"/>
      <c r="C259" s="73"/>
      <c r="D259" s="32"/>
      <c r="E259" s="83"/>
      <c r="F259" s="83"/>
      <c r="O259" s="203"/>
    </row>
    <row r="260" spans="2:6" ht="15">
      <c r="B260" s="139" t="s">
        <v>464</v>
      </c>
      <c r="C260" s="73"/>
      <c r="D260" s="32"/>
      <c r="E260" s="83" t="s">
        <v>59</v>
      </c>
      <c r="F260" s="83"/>
    </row>
    <row r="265" ht="15">
      <c r="B265" s="139"/>
    </row>
  </sheetData>
  <sheetProtection/>
  <mergeCells count="3">
    <mergeCell ref="A5:D5"/>
    <mergeCell ref="A57:D57"/>
    <mergeCell ref="A235:D235"/>
  </mergeCells>
  <printOptions/>
  <pageMargins left="0.55" right="0.17" top="0.7874015748031497" bottom="0.5905511811023623" header="0.5118110236220472" footer="0.511811023622047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A1">
      <selection activeCell="A46" sqref="A46:IV50"/>
    </sheetView>
  </sheetViews>
  <sheetFormatPr defaultColWidth="9.140625" defaultRowHeight="12.75"/>
  <cols>
    <col min="1" max="1" width="41.57421875" style="49" customWidth="1"/>
    <col min="2" max="2" width="9.140625" style="49" customWidth="1"/>
    <col min="3" max="3" width="10.57421875" style="49" customWidth="1"/>
    <col min="4" max="4" width="13.28125" style="49" customWidth="1"/>
    <col min="5" max="5" width="10.28125" style="49" customWidth="1"/>
    <col min="6" max="6" width="12.8515625" style="49" customWidth="1"/>
    <col min="7" max="7" width="10.57421875" style="49" customWidth="1"/>
    <col min="8" max="16384" width="9.140625" style="49" customWidth="1"/>
  </cols>
  <sheetData>
    <row r="1" ht="12.75">
      <c r="D1" s="49" t="s">
        <v>60</v>
      </c>
    </row>
    <row r="2" spans="1:6" ht="18.75">
      <c r="A2" s="420" t="s">
        <v>578</v>
      </c>
      <c r="B2" s="420"/>
      <c r="C2" s="420"/>
      <c r="D2" s="420"/>
      <c r="E2" s="420"/>
      <c r="F2" s="420"/>
    </row>
    <row r="3" spans="1:7" ht="90">
      <c r="A3" s="57" t="s">
        <v>44</v>
      </c>
      <c r="B3" s="58" t="s">
        <v>45</v>
      </c>
      <c r="C3" s="15" t="s">
        <v>577</v>
      </c>
      <c r="D3" s="59" t="s">
        <v>579</v>
      </c>
      <c r="E3" s="59" t="s">
        <v>580</v>
      </c>
      <c r="F3" s="59" t="s">
        <v>581</v>
      </c>
      <c r="G3" s="60"/>
    </row>
    <row r="4" spans="1:7" ht="15">
      <c r="A4" s="8" t="s">
        <v>73</v>
      </c>
      <c r="B4" s="213" t="s">
        <v>200</v>
      </c>
      <c r="C4" s="12">
        <f>D20</f>
        <v>3244</v>
      </c>
      <c r="D4" s="1"/>
      <c r="E4" s="1"/>
      <c r="F4" s="1"/>
      <c r="G4" s="2"/>
    </row>
    <row r="5" spans="1:7" ht="30" customHeight="1">
      <c r="A5" s="8" t="s">
        <v>274</v>
      </c>
      <c r="B5" s="9" t="s">
        <v>273</v>
      </c>
      <c r="C5" s="55">
        <f>D30+D36+D45</f>
        <v>809121</v>
      </c>
      <c r="D5" s="1"/>
      <c r="E5" s="1"/>
      <c r="F5" s="1"/>
      <c r="G5" s="2"/>
    </row>
    <row r="6" spans="1:7" ht="30">
      <c r="A6" s="8" t="s">
        <v>283</v>
      </c>
      <c r="B6" s="4" t="s">
        <v>426</v>
      </c>
      <c r="C6" s="13"/>
      <c r="D6" s="3"/>
      <c r="E6" s="3"/>
      <c r="F6" s="2">
        <v>3728</v>
      </c>
      <c r="G6" s="2"/>
    </row>
    <row r="7" spans="1:9" ht="14.25">
      <c r="A7" s="5" t="s">
        <v>46</v>
      </c>
      <c r="B7" s="6"/>
      <c r="C7" s="7">
        <f>SUM(C4:C6)</f>
        <v>812365</v>
      </c>
      <c r="D7" s="7">
        <f>SUM(D4:D6)</f>
        <v>0</v>
      </c>
      <c r="E7" s="7">
        <f>SUM(E4:E6)</f>
        <v>0</v>
      </c>
      <c r="F7" s="7">
        <f>SUM(F4:F6)</f>
        <v>3728</v>
      </c>
      <c r="G7" s="7">
        <f>SUM(C7:F7)</f>
        <v>816093</v>
      </c>
      <c r="I7" s="44"/>
    </row>
    <row r="8" spans="1:7" ht="14.25">
      <c r="A8" s="5" t="s">
        <v>450</v>
      </c>
      <c r="B8" s="6"/>
      <c r="C8" s="416">
        <v>11</v>
      </c>
      <c r="D8" s="6"/>
      <c r="E8" s="6"/>
      <c r="F8" s="6"/>
      <c r="G8" s="7">
        <f>SUM(C8:F8)</f>
        <v>11</v>
      </c>
    </row>
    <row r="9" spans="1:7" s="18" customFormat="1" ht="15">
      <c r="A9" s="16" t="s">
        <v>252</v>
      </c>
      <c r="B9" s="17"/>
      <c r="C9" s="416">
        <f>SUM(C10:C13)</f>
        <v>43514</v>
      </c>
      <c r="G9" s="7">
        <f>SUM(C9:F9)</f>
        <v>43514</v>
      </c>
    </row>
    <row r="10" spans="1:7" s="18" customFormat="1" ht="45">
      <c r="A10" s="10" t="s">
        <v>633</v>
      </c>
      <c r="B10" s="53"/>
      <c r="C10" s="54"/>
      <c r="G10" s="7"/>
    </row>
    <row r="11" spans="1:7" s="18" customFormat="1" ht="15">
      <c r="A11" s="390" t="s">
        <v>639</v>
      </c>
      <c r="B11" s="53"/>
      <c r="C11" s="391"/>
      <c r="G11" s="7"/>
    </row>
    <row r="12" spans="1:7" s="18" customFormat="1" ht="15">
      <c r="A12" s="390" t="s">
        <v>640</v>
      </c>
      <c r="B12" s="53"/>
      <c r="C12" s="392"/>
      <c r="G12" s="7"/>
    </row>
    <row r="13" spans="1:7" s="18" customFormat="1" ht="15">
      <c r="A13" s="16" t="s">
        <v>636</v>
      </c>
      <c r="B13" s="53"/>
      <c r="C13" s="63">
        <v>43514</v>
      </c>
      <c r="G13" s="7"/>
    </row>
    <row r="14" spans="1:7" s="18" customFormat="1" ht="18.75">
      <c r="A14" s="419" t="s">
        <v>584</v>
      </c>
      <c r="B14" s="419"/>
      <c r="C14" s="419"/>
      <c r="D14" s="419"/>
      <c r="E14" s="419"/>
      <c r="F14" s="419"/>
      <c r="G14" s="419"/>
    </row>
    <row r="15" spans="1:7" s="18" customFormat="1" ht="15.75">
      <c r="A15" s="16"/>
      <c r="B15" s="53"/>
      <c r="C15" s="54"/>
      <c r="D15" s="61" t="s">
        <v>412</v>
      </c>
      <c r="G15" s="7"/>
    </row>
    <row r="16" spans="1:7" s="18" customFormat="1" ht="30">
      <c r="A16" s="16" t="s">
        <v>585</v>
      </c>
      <c r="B16" s="53"/>
      <c r="C16" s="54"/>
      <c r="D16" s="18">
        <v>63</v>
      </c>
      <c r="G16" s="7"/>
    </row>
    <row r="17" spans="1:7" s="18" customFormat="1" ht="45">
      <c r="A17" s="47" t="s">
        <v>590</v>
      </c>
      <c r="B17" s="64"/>
      <c r="C17" s="64"/>
      <c r="D17" s="395">
        <f>790+200</f>
        <v>990</v>
      </c>
      <c r="G17" s="7"/>
    </row>
    <row r="18" spans="1:7" s="18" customFormat="1" ht="30">
      <c r="A18" s="16" t="s">
        <v>646</v>
      </c>
      <c r="B18" s="53"/>
      <c r="C18" s="54"/>
      <c r="D18" s="18">
        <v>791</v>
      </c>
      <c r="F18" s="18" t="s">
        <v>19</v>
      </c>
      <c r="G18" s="7"/>
    </row>
    <row r="19" spans="1:7" s="18" customFormat="1" ht="15">
      <c r="A19" s="16" t="s">
        <v>668</v>
      </c>
      <c r="B19" s="53"/>
      <c r="C19" s="54"/>
      <c r="D19" s="18">
        <v>1400</v>
      </c>
      <c r="F19" s="18" t="s">
        <v>20</v>
      </c>
      <c r="G19" s="7"/>
    </row>
    <row r="20" spans="1:7" s="18" customFormat="1" ht="15">
      <c r="A20" s="16"/>
      <c r="B20" s="53"/>
      <c r="C20" s="64" t="s">
        <v>380</v>
      </c>
      <c r="D20" s="65">
        <f>SUM(D16:D19)</f>
        <v>3244</v>
      </c>
      <c r="G20" s="7"/>
    </row>
    <row r="21" spans="1:7" s="18" customFormat="1" ht="15">
      <c r="A21" s="16"/>
      <c r="B21" s="53"/>
      <c r="C21" s="54"/>
      <c r="G21" s="7"/>
    </row>
    <row r="22" spans="1:7" s="18" customFormat="1" ht="15">
      <c r="A22" s="16"/>
      <c r="B22" s="53"/>
      <c r="C22" s="54"/>
      <c r="G22" s="7"/>
    </row>
    <row r="23" spans="1:7" s="18" customFormat="1" ht="18" customHeight="1">
      <c r="A23" s="419" t="s">
        <v>422</v>
      </c>
      <c r="B23" s="419"/>
      <c r="C23" s="419"/>
      <c r="D23" s="419"/>
      <c r="E23" s="419"/>
      <c r="F23" s="419"/>
      <c r="G23" s="419"/>
    </row>
    <row r="24" spans="1:7" s="18" customFormat="1" ht="15.75">
      <c r="A24" s="49"/>
      <c r="B24" s="49"/>
      <c r="C24" s="49"/>
      <c r="D24" s="61" t="s">
        <v>412</v>
      </c>
      <c r="E24" s="49"/>
      <c r="F24" s="49"/>
      <c r="G24" s="49"/>
    </row>
    <row r="25" spans="1:7" s="18" customFormat="1" ht="30">
      <c r="A25" s="403" t="s">
        <v>587</v>
      </c>
      <c r="B25" s="62"/>
      <c r="C25" s="62"/>
      <c r="D25" s="83">
        <v>8070</v>
      </c>
      <c r="E25" s="49"/>
      <c r="F25" s="49"/>
      <c r="G25" s="49"/>
    </row>
    <row r="26" spans="1:7" s="18" customFormat="1" ht="30.75" customHeight="1">
      <c r="A26" s="403" t="s">
        <v>586</v>
      </c>
      <c r="B26" s="62"/>
      <c r="C26" s="62"/>
      <c r="D26" s="83">
        <v>143</v>
      </c>
      <c r="E26" s="49"/>
      <c r="F26" s="49"/>
      <c r="G26" s="49"/>
    </row>
    <row r="27" spans="1:7" s="18" customFormat="1" ht="45">
      <c r="A27" s="16" t="s">
        <v>588</v>
      </c>
      <c r="B27" s="62"/>
      <c r="C27" s="62"/>
      <c r="D27" s="83">
        <v>1423</v>
      </c>
      <c r="E27" s="49"/>
      <c r="F27" s="49"/>
      <c r="G27" s="49"/>
    </row>
    <row r="28" spans="1:7" s="18" customFormat="1" ht="45">
      <c r="A28" s="16" t="s">
        <v>651</v>
      </c>
      <c r="B28" s="62"/>
      <c r="C28" s="62"/>
      <c r="D28" s="83">
        <v>1200</v>
      </c>
      <c r="E28" s="49"/>
      <c r="F28" s="49"/>
      <c r="G28" s="49"/>
    </row>
    <row r="29" spans="1:7" s="18" customFormat="1" ht="30">
      <c r="A29" s="47" t="s">
        <v>667</v>
      </c>
      <c r="B29" s="62"/>
      <c r="C29" s="62"/>
      <c r="D29" s="83">
        <v>3500</v>
      </c>
      <c r="E29" s="49"/>
      <c r="F29" s="49"/>
      <c r="G29" s="49"/>
    </row>
    <row r="30" spans="1:4" s="64" customFormat="1" ht="15">
      <c r="A30" s="313"/>
      <c r="C30" s="64" t="s">
        <v>380</v>
      </c>
      <c r="D30" s="65">
        <f>SUM(D25:D29)</f>
        <v>14336</v>
      </c>
    </row>
    <row r="31" spans="1:4" s="64" customFormat="1" ht="15">
      <c r="A31" s="47"/>
      <c r="D31" s="65"/>
    </row>
    <row r="32" spans="1:7" s="64" customFormat="1" ht="45" customHeight="1">
      <c r="A32" s="419" t="s">
        <v>418</v>
      </c>
      <c r="B32" s="419"/>
      <c r="C32" s="419"/>
      <c r="D32" s="419"/>
      <c r="E32" s="419"/>
      <c r="F32" s="419"/>
      <c r="G32" s="419"/>
    </row>
    <row r="33" spans="1:4" s="64" customFormat="1" ht="15.75">
      <c r="A33" s="47"/>
      <c r="D33" s="61" t="s">
        <v>412</v>
      </c>
    </row>
    <row r="34" spans="1:4" s="73" customFormat="1" ht="30">
      <c r="A34" s="47" t="s">
        <v>628</v>
      </c>
      <c r="B34" s="66"/>
      <c r="C34" s="66"/>
      <c r="D34" s="83">
        <v>785970</v>
      </c>
    </row>
    <row r="35" spans="1:4" s="73" customFormat="1" ht="15">
      <c r="A35" s="47"/>
      <c r="B35" s="66"/>
      <c r="C35" s="66"/>
      <c r="D35" s="83"/>
    </row>
    <row r="36" spans="1:4" s="64" customFormat="1" ht="15">
      <c r="A36" s="47"/>
      <c r="C36" s="64" t="s">
        <v>380</v>
      </c>
      <c r="D36" s="65">
        <f>SUM(D34:D35)</f>
        <v>785970</v>
      </c>
    </row>
    <row r="37" spans="1:4" s="64" customFormat="1" ht="15">
      <c r="A37" s="47"/>
      <c r="D37" s="65"/>
    </row>
    <row r="38" spans="1:7" s="64" customFormat="1" ht="18" customHeight="1">
      <c r="A38" s="419" t="s">
        <v>629</v>
      </c>
      <c r="B38" s="419"/>
      <c r="C38" s="419"/>
      <c r="D38" s="419"/>
      <c r="E38" s="419"/>
      <c r="F38" s="419"/>
      <c r="G38" s="419"/>
    </row>
    <row r="39" spans="1:4" s="64" customFormat="1" ht="15">
      <c r="A39" s="47"/>
      <c r="D39" s="65"/>
    </row>
    <row r="40" spans="1:4" s="64" customFormat="1" ht="45">
      <c r="A40" s="47" t="s">
        <v>591</v>
      </c>
      <c r="B40" s="66"/>
      <c r="C40" s="66"/>
      <c r="D40" s="83">
        <v>1715</v>
      </c>
    </row>
    <row r="41" spans="1:4" s="64" customFormat="1" ht="30">
      <c r="A41" s="47" t="s">
        <v>666</v>
      </c>
      <c r="B41" s="66"/>
      <c r="C41" s="66"/>
      <c r="D41" s="83">
        <v>1200</v>
      </c>
    </row>
    <row r="42" spans="1:4" s="64" customFormat="1" ht="45">
      <c r="A42" s="47" t="s">
        <v>589</v>
      </c>
      <c r="B42" s="66"/>
      <c r="C42" s="66"/>
      <c r="D42" s="83">
        <v>5000</v>
      </c>
    </row>
    <row r="43" spans="1:4" s="64" customFormat="1" ht="30">
      <c r="A43" s="403" t="s">
        <v>624</v>
      </c>
      <c r="B43" s="62"/>
      <c r="C43" s="62"/>
      <c r="D43" s="83">
        <v>900</v>
      </c>
    </row>
    <row r="44" spans="1:4" s="64" customFormat="1" ht="15">
      <c r="A44" s="47"/>
      <c r="B44" s="66"/>
      <c r="C44" s="66"/>
      <c r="D44" s="83"/>
    </row>
    <row r="45" spans="1:4" s="64" customFormat="1" ht="15">
      <c r="A45" s="47"/>
      <c r="C45" s="64" t="s">
        <v>380</v>
      </c>
      <c r="D45" s="65">
        <f>SUM(D40:D44)</f>
        <v>8815</v>
      </c>
    </row>
    <row r="46" spans="1:5" ht="18" customHeight="1">
      <c r="A46" s="49" t="s">
        <v>464</v>
      </c>
      <c r="E46" s="49" t="s">
        <v>59</v>
      </c>
    </row>
    <row r="51" ht="18" customHeight="1"/>
  </sheetData>
  <sheetProtection/>
  <mergeCells count="5">
    <mergeCell ref="A38:G38"/>
    <mergeCell ref="A32:G32"/>
    <mergeCell ref="A2:F2"/>
    <mergeCell ref="A23:G23"/>
    <mergeCell ref="A14:G14"/>
  </mergeCells>
  <printOptions/>
  <pageMargins left="0.7480314960629921" right="0.15748031496062992" top="0.4330708661417323" bottom="0.2755905511811024" header="0.5511811023622047" footer="0.275590551181102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91"/>
  <sheetViews>
    <sheetView zoomScalePageLayoutView="0" workbookViewId="0" topLeftCell="A1">
      <selection activeCell="E190" sqref="E190"/>
    </sheetView>
  </sheetViews>
  <sheetFormatPr defaultColWidth="9.140625" defaultRowHeight="12.75"/>
  <cols>
    <col min="1" max="1" width="28.57421875" style="62" customWidth="1"/>
    <col min="2" max="2" width="12.00390625" style="242" customWidth="1"/>
    <col min="3" max="3" width="34.140625" style="62" customWidth="1"/>
    <col min="4" max="4" width="13.28125" style="63" customWidth="1"/>
    <col min="5" max="5" width="60.28125" style="62" customWidth="1"/>
    <col min="6" max="6" width="10.28125" style="62" customWidth="1"/>
    <col min="7" max="7" width="35.7109375" style="62" customWidth="1"/>
    <col min="8" max="16384" width="9.140625" style="62" customWidth="1"/>
  </cols>
  <sheetData>
    <row r="1" ht="15">
      <c r="E1" s="62" t="s">
        <v>60</v>
      </c>
    </row>
    <row r="2" spans="1:5" ht="18.75">
      <c r="A2" s="421" t="s">
        <v>582</v>
      </c>
      <c r="B2" s="421"/>
      <c r="C2" s="421"/>
      <c r="D2" s="421"/>
      <c r="E2" s="421"/>
    </row>
    <row r="3" spans="1:5" ht="31.5">
      <c r="A3" s="295" t="s">
        <v>24</v>
      </c>
      <c r="B3" s="296" t="s">
        <v>28</v>
      </c>
      <c r="C3" s="295" t="s">
        <v>25</v>
      </c>
      <c r="D3" s="297" t="s">
        <v>26</v>
      </c>
      <c r="E3" s="295" t="s">
        <v>27</v>
      </c>
    </row>
    <row r="4" spans="1:5" ht="15.75">
      <c r="A4" s="295"/>
      <c r="B4" s="298"/>
      <c r="C4" s="295"/>
      <c r="D4" s="297" t="s">
        <v>412</v>
      </c>
      <c r="E4" s="50"/>
    </row>
    <row r="5" spans="1:5" ht="15">
      <c r="A5" s="244" t="s">
        <v>173</v>
      </c>
      <c r="B5" s="245" t="s">
        <v>92</v>
      </c>
      <c r="C5" s="246"/>
      <c r="D5" s="247">
        <f>SUM(D6,D11)</f>
        <v>-268358</v>
      </c>
      <c r="E5" s="243"/>
    </row>
    <row r="6" spans="1:5" ht="15">
      <c r="A6" s="248" t="s">
        <v>421</v>
      </c>
      <c r="B6" s="249" t="s">
        <v>284</v>
      </c>
      <c r="C6" s="246"/>
      <c r="D6" s="38">
        <f>SUM(D7:D10)</f>
        <v>6918</v>
      </c>
      <c r="E6" s="108"/>
    </row>
    <row r="7" spans="1:5" ht="60">
      <c r="A7" s="252"/>
      <c r="B7" s="253" t="s">
        <v>242</v>
      </c>
      <c r="C7" s="254" t="s">
        <v>232</v>
      </c>
      <c r="D7" s="251">
        <f>1073+3124+3000</f>
        <v>7197</v>
      </c>
      <c r="E7" s="254" t="s">
        <v>14</v>
      </c>
    </row>
    <row r="8" spans="1:5" ht="15">
      <c r="A8" s="252"/>
      <c r="B8" s="250" t="s">
        <v>401</v>
      </c>
      <c r="C8" s="254" t="s">
        <v>235</v>
      </c>
      <c r="D8" s="251">
        <v>343</v>
      </c>
      <c r="E8" s="89" t="s">
        <v>630</v>
      </c>
    </row>
    <row r="9" spans="1:5" ht="15">
      <c r="A9" s="252"/>
      <c r="B9" s="250" t="s">
        <v>247</v>
      </c>
      <c r="C9" s="254" t="s">
        <v>644</v>
      </c>
      <c r="D9" s="251">
        <v>-3000</v>
      </c>
      <c r="E9" s="89" t="s">
        <v>643</v>
      </c>
    </row>
    <row r="10" spans="1:5" ht="15">
      <c r="A10" s="252"/>
      <c r="B10" s="250" t="s">
        <v>243</v>
      </c>
      <c r="C10" s="108" t="s">
        <v>237</v>
      </c>
      <c r="D10" s="251">
        <v>2378</v>
      </c>
      <c r="E10" s="89" t="s">
        <v>627</v>
      </c>
    </row>
    <row r="11" spans="1:7" s="66" customFormat="1" ht="30">
      <c r="A11" s="255" t="s">
        <v>289</v>
      </c>
      <c r="B11" s="256" t="s">
        <v>468</v>
      </c>
      <c r="C11" s="89"/>
      <c r="D11" s="251">
        <f>-201313-6000-6565-61398</f>
        <v>-275276</v>
      </c>
      <c r="E11" s="89" t="s">
        <v>11</v>
      </c>
      <c r="F11" s="301"/>
      <c r="G11" s="62"/>
    </row>
    <row r="12" spans="1:5" ht="29.25">
      <c r="A12" s="246" t="s">
        <v>103</v>
      </c>
      <c r="B12" s="245" t="s">
        <v>102</v>
      </c>
      <c r="C12" s="246"/>
      <c r="D12" s="257">
        <f>SUM(D13)</f>
        <v>2421</v>
      </c>
      <c r="E12" s="254"/>
    </row>
    <row r="13" spans="1:5" ht="30">
      <c r="A13" s="260" t="s">
        <v>398</v>
      </c>
      <c r="B13" s="249" t="s">
        <v>625</v>
      </c>
      <c r="C13" s="108"/>
      <c r="D13" s="259">
        <f>D14</f>
        <v>2421</v>
      </c>
      <c r="E13" s="108"/>
    </row>
    <row r="14" spans="1:5" ht="15">
      <c r="A14" s="258"/>
      <c r="B14" s="253" t="s">
        <v>242</v>
      </c>
      <c r="C14" s="89" t="s">
        <v>232</v>
      </c>
      <c r="D14" s="24">
        <v>2421</v>
      </c>
      <c r="E14" s="108" t="s">
        <v>623</v>
      </c>
    </row>
    <row r="15" spans="1:5" ht="15">
      <c r="A15" s="120" t="s">
        <v>105</v>
      </c>
      <c r="B15" s="373" t="s">
        <v>31</v>
      </c>
      <c r="C15" s="120"/>
      <c r="D15" s="37">
        <f>SUM(D16,D21,D24,D27,D29,D32,D36,D37,D38,D39)</f>
        <v>148429</v>
      </c>
      <c r="E15" s="89"/>
    </row>
    <row r="16" spans="1:5" ht="30">
      <c r="A16" s="263" t="s">
        <v>293</v>
      </c>
      <c r="B16" s="256" t="s">
        <v>292</v>
      </c>
      <c r="C16" s="120"/>
      <c r="D16" s="259">
        <f>SUM(D17:D20)</f>
        <v>10000</v>
      </c>
      <c r="E16" s="174" t="s">
        <v>601</v>
      </c>
    </row>
    <row r="17" spans="1:5" ht="15">
      <c r="A17" s="263"/>
      <c r="B17" s="253" t="s">
        <v>40</v>
      </c>
      <c r="C17" s="108" t="s">
        <v>253</v>
      </c>
      <c r="D17" s="24">
        <v>2405</v>
      </c>
      <c r="E17" s="89"/>
    </row>
    <row r="18" spans="1:5" ht="15">
      <c r="A18" s="120"/>
      <c r="B18" s="250" t="s">
        <v>41</v>
      </c>
      <c r="C18" s="243" t="s">
        <v>29</v>
      </c>
      <c r="D18" s="24">
        <v>1248</v>
      </c>
      <c r="E18" s="174"/>
    </row>
    <row r="19" spans="1:5" ht="15">
      <c r="A19" s="120"/>
      <c r="B19" s="253" t="s">
        <v>242</v>
      </c>
      <c r="C19" s="89" t="s">
        <v>232</v>
      </c>
      <c r="D19" s="24">
        <v>520</v>
      </c>
      <c r="E19" s="374"/>
    </row>
    <row r="20" spans="1:5" ht="15">
      <c r="A20" s="120"/>
      <c r="B20" s="253" t="s">
        <v>403</v>
      </c>
      <c r="C20" s="89" t="s">
        <v>405</v>
      </c>
      <c r="D20" s="24">
        <v>5827</v>
      </c>
      <c r="E20" s="374"/>
    </row>
    <row r="21" spans="1:5" ht="45">
      <c r="A21" s="260" t="s">
        <v>454</v>
      </c>
      <c r="B21" s="249" t="s">
        <v>294</v>
      </c>
      <c r="C21" s="246"/>
      <c r="D21" s="259">
        <f>SUM(D22:D23)</f>
        <v>354</v>
      </c>
      <c r="E21" s="108" t="s">
        <v>43</v>
      </c>
    </row>
    <row r="22" spans="1:5" ht="15">
      <c r="A22" s="246"/>
      <c r="B22" s="250" t="s">
        <v>242</v>
      </c>
      <c r="C22" s="254" t="s">
        <v>232</v>
      </c>
      <c r="D22" s="24">
        <v>10354</v>
      </c>
      <c r="E22" s="89"/>
    </row>
    <row r="23" spans="1:5" ht="15">
      <c r="A23" s="317"/>
      <c r="B23" s="250" t="s">
        <v>243</v>
      </c>
      <c r="C23" s="108" t="s">
        <v>237</v>
      </c>
      <c r="D23" s="24">
        <v>-10000</v>
      </c>
      <c r="E23" s="89"/>
    </row>
    <row r="24" spans="1:5" ht="45">
      <c r="A24" s="320" t="s">
        <v>631</v>
      </c>
      <c r="B24" s="249" t="s">
        <v>435</v>
      </c>
      <c r="C24" s="254"/>
      <c r="D24" s="319">
        <f>SUM(D25:D26)</f>
        <v>-3952</v>
      </c>
      <c r="E24" s="89" t="s">
        <v>632</v>
      </c>
    </row>
    <row r="25" spans="1:5" ht="15">
      <c r="A25" s="317"/>
      <c r="B25" s="253" t="s">
        <v>40</v>
      </c>
      <c r="C25" s="108" t="s">
        <v>253</v>
      </c>
      <c r="D25" s="24">
        <v>-3198</v>
      </c>
      <c r="E25" s="89"/>
    </row>
    <row r="26" spans="1:5" ht="15">
      <c r="A26" s="317"/>
      <c r="B26" s="250" t="s">
        <v>41</v>
      </c>
      <c r="C26" s="243" t="s">
        <v>29</v>
      </c>
      <c r="D26" s="24">
        <v>-754</v>
      </c>
      <c r="E26" s="318"/>
    </row>
    <row r="27" spans="1:5" ht="60">
      <c r="A27" s="264" t="s">
        <v>633</v>
      </c>
      <c r="B27" s="249" t="s">
        <v>517</v>
      </c>
      <c r="C27" s="243"/>
      <c r="D27" s="319">
        <f>SUM(D28)</f>
        <v>15167</v>
      </c>
      <c r="E27" s="89"/>
    </row>
    <row r="28" spans="1:5" ht="30">
      <c r="A28" s="317"/>
      <c r="B28" s="250" t="s">
        <v>243</v>
      </c>
      <c r="C28" s="254" t="s">
        <v>276</v>
      </c>
      <c r="D28" s="24">
        <f>13581+1586</f>
        <v>15167</v>
      </c>
      <c r="E28" s="89" t="s">
        <v>634</v>
      </c>
    </row>
    <row r="29" spans="1:5" ht="15">
      <c r="A29" s="264" t="s">
        <v>207</v>
      </c>
      <c r="B29" s="249" t="s">
        <v>206</v>
      </c>
      <c r="C29" s="243"/>
      <c r="D29" s="319">
        <f>SUM(D30:D31)</f>
        <v>29</v>
      </c>
      <c r="E29" s="318"/>
    </row>
    <row r="30" spans="1:5" ht="15">
      <c r="A30" s="264"/>
      <c r="B30" s="250" t="s">
        <v>242</v>
      </c>
      <c r="C30" s="243" t="s">
        <v>232</v>
      </c>
      <c r="D30" s="382"/>
      <c r="E30" s="383"/>
    </row>
    <row r="31" spans="1:5" ht="45">
      <c r="A31" s="317"/>
      <c r="B31" s="250" t="s">
        <v>635</v>
      </c>
      <c r="C31" s="254" t="s">
        <v>575</v>
      </c>
      <c r="D31" s="24">
        <v>29</v>
      </c>
      <c r="E31" s="89" t="s">
        <v>641</v>
      </c>
    </row>
    <row r="32" spans="1:5" ht="15">
      <c r="A32" s="264" t="s">
        <v>419</v>
      </c>
      <c r="B32" s="249" t="s">
        <v>296</v>
      </c>
      <c r="C32" s="243"/>
      <c r="D32" s="259">
        <f>SUM(D33:D35)</f>
        <v>124652</v>
      </c>
      <c r="E32" s="108"/>
    </row>
    <row r="33" spans="1:7" ht="45">
      <c r="A33" s="264"/>
      <c r="B33" s="250" t="s">
        <v>242</v>
      </c>
      <c r="C33" s="243" t="s">
        <v>232</v>
      </c>
      <c r="D33" s="24">
        <f>2360+1427</f>
        <v>3787</v>
      </c>
      <c r="E33" s="89" t="s">
        <v>604</v>
      </c>
      <c r="F33" s="32"/>
      <c r="G33" s="8"/>
    </row>
    <row r="34" spans="1:5" ht="30">
      <c r="A34" s="264"/>
      <c r="B34" s="250" t="s">
        <v>243</v>
      </c>
      <c r="C34" s="254" t="s">
        <v>276</v>
      </c>
      <c r="D34" s="24">
        <f>-1427+58019</f>
        <v>56592</v>
      </c>
      <c r="E34" s="89" t="s">
        <v>609</v>
      </c>
    </row>
    <row r="35" spans="1:7" ht="30">
      <c r="A35" s="264"/>
      <c r="B35" s="250" t="s">
        <v>243</v>
      </c>
      <c r="C35" s="254" t="s">
        <v>592</v>
      </c>
      <c r="D35" s="24">
        <v>64273</v>
      </c>
      <c r="E35" s="89" t="s">
        <v>595</v>
      </c>
      <c r="G35" s="389"/>
    </row>
    <row r="36" spans="1:5" ht="15">
      <c r="A36" s="264" t="s">
        <v>419</v>
      </c>
      <c r="B36" s="249" t="s">
        <v>296</v>
      </c>
      <c r="C36" s="243" t="s">
        <v>463</v>
      </c>
      <c r="D36" s="312">
        <v>-7775</v>
      </c>
      <c r="E36" s="89" t="s">
        <v>2</v>
      </c>
    </row>
    <row r="37" spans="1:5" ht="15">
      <c r="A37" s="258" t="s">
        <v>298</v>
      </c>
      <c r="B37" s="249" t="s">
        <v>297</v>
      </c>
      <c r="C37" s="243" t="s">
        <v>476</v>
      </c>
      <c r="D37" s="312"/>
      <c r="E37" s="89" t="s">
        <v>451</v>
      </c>
    </row>
    <row r="38" spans="1:5" ht="15">
      <c r="A38" s="258" t="s">
        <v>298</v>
      </c>
      <c r="B38" s="249" t="s">
        <v>297</v>
      </c>
      <c r="C38" s="243" t="s">
        <v>463</v>
      </c>
      <c r="D38" s="312"/>
      <c r="E38" s="89"/>
    </row>
    <row r="39" spans="1:5" ht="30">
      <c r="A39" s="258" t="s">
        <v>676</v>
      </c>
      <c r="B39" s="249" t="s">
        <v>526</v>
      </c>
      <c r="C39" s="243"/>
      <c r="D39" s="319">
        <f>SUM(D40)</f>
        <v>9954</v>
      </c>
      <c r="E39" s="89" t="s">
        <v>677</v>
      </c>
    </row>
    <row r="40" spans="1:5" ht="15">
      <c r="A40" s="258"/>
      <c r="B40" s="250" t="s">
        <v>243</v>
      </c>
      <c r="C40" s="254" t="s">
        <v>276</v>
      </c>
      <c r="D40" s="24">
        <v>9954</v>
      </c>
      <c r="E40" s="89"/>
    </row>
    <row r="41" spans="1:5" ht="15">
      <c r="A41" s="266" t="s">
        <v>116</v>
      </c>
      <c r="B41" s="267" t="s">
        <v>54</v>
      </c>
      <c r="C41" s="266"/>
      <c r="D41" s="257">
        <f>SUM(D42,D44:D46,D47)</f>
        <v>17934</v>
      </c>
      <c r="E41" s="265"/>
    </row>
    <row r="42" spans="1:5" ht="30">
      <c r="A42" s="264" t="s">
        <v>459</v>
      </c>
      <c r="B42" s="268" t="s">
        <v>461</v>
      </c>
      <c r="C42" s="266"/>
      <c r="D42" s="37">
        <f>SUM(D43:D43)</f>
        <v>3342</v>
      </c>
      <c r="E42" s="108" t="s">
        <v>43</v>
      </c>
    </row>
    <row r="43" spans="1:5" ht="45">
      <c r="A43" s="264"/>
      <c r="B43" s="250" t="s">
        <v>242</v>
      </c>
      <c r="C43" s="243" t="s">
        <v>232</v>
      </c>
      <c r="D43" s="24">
        <f>322+2220+800</f>
        <v>3342</v>
      </c>
      <c r="E43" s="265" t="s">
        <v>0</v>
      </c>
    </row>
    <row r="44" spans="1:5" ht="30">
      <c r="A44" s="264" t="s">
        <v>459</v>
      </c>
      <c r="B44" s="268" t="s">
        <v>461</v>
      </c>
      <c r="C44" s="243" t="s">
        <v>472</v>
      </c>
      <c r="D44" s="269">
        <v>419</v>
      </c>
      <c r="E44" s="262" t="s">
        <v>473</v>
      </c>
    </row>
    <row r="45" spans="1:5" ht="30">
      <c r="A45" s="264" t="s">
        <v>404</v>
      </c>
      <c r="B45" s="268" t="s">
        <v>302</v>
      </c>
      <c r="C45" s="243" t="s">
        <v>472</v>
      </c>
      <c r="D45" s="269">
        <v>-3307</v>
      </c>
      <c r="E45" s="262" t="s">
        <v>473</v>
      </c>
    </row>
    <row r="46" spans="1:5" ht="30">
      <c r="A46" s="264" t="s">
        <v>459</v>
      </c>
      <c r="B46" s="268" t="s">
        <v>461</v>
      </c>
      <c r="C46" s="243" t="s">
        <v>452</v>
      </c>
      <c r="D46" s="312">
        <v>6914</v>
      </c>
      <c r="E46" s="14" t="s">
        <v>3</v>
      </c>
    </row>
    <row r="47" spans="1:5" ht="45">
      <c r="A47" s="264" t="s">
        <v>613</v>
      </c>
      <c r="B47" s="268" t="s">
        <v>611</v>
      </c>
      <c r="C47" s="243"/>
      <c r="D47" s="259">
        <f>SUM(D48:D48)</f>
        <v>10566</v>
      </c>
      <c r="E47" s="262" t="s">
        <v>612</v>
      </c>
    </row>
    <row r="48" spans="1:5" ht="30">
      <c r="A48" s="264"/>
      <c r="B48" s="250" t="s">
        <v>243</v>
      </c>
      <c r="C48" s="243" t="s">
        <v>614</v>
      </c>
      <c r="D48" s="315">
        <v>10566</v>
      </c>
      <c r="E48" s="262" t="s">
        <v>615</v>
      </c>
    </row>
    <row r="49" spans="1:5" ht="29.25">
      <c r="A49" s="266" t="s">
        <v>175</v>
      </c>
      <c r="B49" s="267" t="s">
        <v>34</v>
      </c>
      <c r="C49" s="266"/>
      <c r="D49" s="257">
        <f>SUM(D50,D52:D54,D55:D63,D66,D64,D68)</f>
        <v>78948</v>
      </c>
      <c r="E49" s="254"/>
    </row>
    <row r="50" spans="1:5" ht="30">
      <c r="A50" s="258" t="s">
        <v>460</v>
      </c>
      <c r="B50" s="268" t="s">
        <v>122</v>
      </c>
      <c r="C50" s="266"/>
      <c r="D50" s="259">
        <f>SUM(D51:D51)</f>
        <v>49793</v>
      </c>
      <c r="E50" s="254"/>
    </row>
    <row r="51" spans="1:5" ht="75">
      <c r="A51" s="266"/>
      <c r="B51" s="253" t="s">
        <v>243</v>
      </c>
      <c r="C51" s="89" t="s">
        <v>276</v>
      </c>
      <c r="D51" s="24">
        <f>50000+5100+693+4000-10000</f>
        <v>49793</v>
      </c>
      <c r="E51" s="89" t="s">
        <v>13</v>
      </c>
    </row>
    <row r="52" spans="1:5" ht="15">
      <c r="A52" s="258" t="s">
        <v>124</v>
      </c>
      <c r="B52" s="256" t="s">
        <v>123</v>
      </c>
      <c r="C52" s="243" t="s">
        <v>472</v>
      </c>
      <c r="D52" s="269">
        <v>-2000</v>
      </c>
      <c r="E52" s="262" t="s">
        <v>473</v>
      </c>
    </row>
    <row r="53" spans="1:5" ht="30">
      <c r="A53" s="258"/>
      <c r="B53" s="256" t="s">
        <v>123</v>
      </c>
      <c r="C53" s="243" t="s">
        <v>656</v>
      </c>
      <c r="D53" s="269"/>
      <c r="E53" s="262" t="s">
        <v>657</v>
      </c>
    </row>
    <row r="54" spans="1:5" ht="15">
      <c r="A54" s="258"/>
      <c r="B54" s="256" t="s">
        <v>123</v>
      </c>
      <c r="C54" s="243" t="s">
        <v>476</v>
      </c>
      <c r="D54" s="312"/>
      <c r="E54" s="254" t="s">
        <v>451</v>
      </c>
    </row>
    <row r="55" spans="1:5" ht="15">
      <c r="A55" s="258" t="s">
        <v>126</v>
      </c>
      <c r="B55" s="249" t="s">
        <v>125</v>
      </c>
      <c r="C55" s="108" t="s">
        <v>452</v>
      </c>
      <c r="D55" s="408">
        <v>7775</v>
      </c>
      <c r="E55" s="89" t="s">
        <v>7</v>
      </c>
    </row>
    <row r="56" spans="1:5" ht="15">
      <c r="A56" s="258" t="s">
        <v>126</v>
      </c>
      <c r="B56" s="249" t="s">
        <v>638</v>
      </c>
      <c r="C56" s="108" t="s">
        <v>232</v>
      </c>
      <c r="D56" s="380">
        <v>2000</v>
      </c>
      <c r="E56" s="381" t="s">
        <v>637</v>
      </c>
    </row>
    <row r="57" spans="1:5" ht="45">
      <c r="A57" s="255" t="s">
        <v>428</v>
      </c>
      <c r="B57" s="249" t="s">
        <v>310</v>
      </c>
      <c r="C57" s="243" t="s">
        <v>452</v>
      </c>
      <c r="D57" s="312">
        <v>6000</v>
      </c>
      <c r="E57" s="402" t="s">
        <v>6</v>
      </c>
    </row>
    <row r="58" spans="1:5" ht="45">
      <c r="A58" s="255"/>
      <c r="B58" s="249" t="s">
        <v>310</v>
      </c>
      <c r="C58" s="243" t="s">
        <v>452</v>
      </c>
      <c r="D58" s="312">
        <v>-42293</v>
      </c>
      <c r="E58" s="407" t="s">
        <v>8</v>
      </c>
    </row>
    <row r="59" spans="1:5" ht="15">
      <c r="A59" s="255"/>
      <c r="B59" s="249"/>
      <c r="C59" s="243" t="s">
        <v>472</v>
      </c>
      <c r="D59" s="269">
        <v>1350</v>
      </c>
      <c r="E59" s="262" t="s">
        <v>473</v>
      </c>
    </row>
    <row r="60" spans="1:5" ht="30">
      <c r="A60" s="255"/>
      <c r="B60" s="249"/>
      <c r="C60" s="243" t="s">
        <v>658</v>
      </c>
      <c r="D60" s="269"/>
      <c r="E60" s="262" t="s">
        <v>659</v>
      </c>
    </row>
    <row r="61" spans="1:5" ht="15">
      <c r="A61" s="255" t="s">
        <v>429</v>
      </c>
      <c r="B61" s="249" t="s">
        <v>477</v>
      </c>
      <c r="C61" s="243" t="s">
        <v>472</v>
      </c>
      <c r="D61" s="269">
        <v>7266</v>
      </c>
      <c r="E61" s="262" t="s">
        <v>473</v>
      </c>
    </row>
    <row r="62" spans="1:5" ht="15">
      <c r="A62" s="255"/>
      <c r="B62" s="249" t="s">
        <v>311</v>
      </c>
      <c r="C62" s="243" t="s">
        <v>452</v>
      </c>
      <c r="D62" s="312">
        <v>28717</v>
      </c>
      <c r="E62" s="243" t="s">
        <v>5</v>
      </c>
    </row>
    <row r="63" spans="1:5" ht="31.5">
      <c r="A63" s="260" t="s">
        <v>482</v>
      </c>
      <c r="B63" s="249" t="s">
        <v>312</v>
      </c>
      <c r="C63" s="243" t="s">
        <v>452</v>
      </c>
      <c r="D63" s="312">
        <v>8517</v>
      </c>
      <c r="E63" s="406" t="s">
        <v>4</v>
      </c>
    </row>
    <row r="64" spans="1:5" ht="15">
      <c r="A64" s="260" t="s">
        <v>482</v>
      </c>
      <c r="B64" s="249" t="s">
        <v>312</v>
      </c>
      <c r="C64" s="243"/>
      <c r="D64" s="259">
        <f>D65</f>
        <v>-8941</v>
      </c>
      <c r="E64" s="89"/>
    </row>
    <row r="65" spans="1:5" ht="15">
      <c r="A65" s="255"/>
      <c r="B65" s="253" t="s">
        <v>243</v>
      </c>
      <c r="C65" s="89" t="s">
        <v>276</v>
      </c>
      <c r="D65" s="24">
        <v>-8941</v>
      </c>
      <c r="E65" s="89" t="s">
        <v>1</v>
      </c>
    </row>
    <row r="66" spans="1:5" ht="30">
      <c r="A66" s="255" t="s">
        <v>440</v>
      </c>
      <c r="B66" s="311" t="s">
        <v>439</v>
      </c>
      <c r="C66" s="308"/>
      <c r="D66" s="259">
        <f>D67</f>
        <v>6979</v>
      </c>
      <c r="E66" s="89"/>
    </row>
    <row r="67" spans="1:5" ht="15">
      <c r="A67" s="307"/>
      <c r="B67" s="309" t="s">
        <v>243</v>
      </c>
      <c r="C67" s="310" t="s">
        <v>276</v>
      </c>
      <c r="D67" s="24">
        <v>6979</v>
      </c>
      <c r="E67" s="108" t="s">
        <v>610</v>
      </c>
    </row>
    <row r="68" spans="1:5" ht="30">
      <c r="A68" s="255" t="s">
        <v>542</v>
      </c>
      <c r="B68" s="311" t="s">
        <v>541</v>
      </c>
      <c r="C68" s="310"/>
      <c r="D68" s="259">
        <f>SUM(D69:D71)</f>
        <v>13785</v>
      </c>
      <c r="E68" s="254"/>
    </row>
    <row r="69" spans="1:5" ht="15">
      <c r="A69" s="255"/>
      <c r="B69" s="250" t="s">
        <v>40</v>
      </c>
      <c r="C69" s="243" t="s">
        <v>253</v>
      </c>
      <c r="D69" s="24">
        <v>1164</v>
      </c>
      <c r="E69" s="254" t="s">
        <v>43</v>
      </c>
    </row>
    <row r="70" spans="1:5" ht="15">
      <c r="A70" s="255"/>
      <c r="B70" s="250" t="s">
        <v>242</v>
      </c>
      <c r="C70" s="254" t="s">
        <v>232</v>
      </c>
      <c r="D70" s="24">
        <f>-454+13785-1164</f>
        <v>12167</v>
      </c>
      <c r="E70" s="254" t="s">
        <v>681</v>
      </c>
    </row>
    <row r="71" spans="1:5" ht="60">
      <c r="A71" s="307"/>
      <c r="B71" s="250" t="s">
        <v>243</v>
      </c>
      <c r="C71" s="254" t="s">
        <v>21</v>
      </c>
      <c r="D71" s="24">
        <f>-35550+454+35550</f>
        <v>454</v>
      </c>
      <c r="E71" s="254" t="s">
        <v>15</v>
      </c>
    </row>
    <row r="72" spans="1:5" ht="15">
      <c r="A72" s="120" t="s">
        <v>132</v>
      </c>
      <c r="B72" s="267" t="s">
        <v>37</v>
      </c>
      <c r="C72" s="120"/>
      <c r="D72" s="257">
        <f>SUM(D73+D77+D80+D83+D86+D87+D88+D93+D96)</f>
        <v>15452</v>
      </c>
      <c r="E72" s="254"/>
    </row>
    <row r="73" spans="1:5" ht="30">
      <c r="A73" s="260" t="s">
        <v>136</v>
      </c>
      <c r="B73" s="268" t="s">
        <v>414</v>
      </c>
      <c r="C73" s="120"/>
      <c r="D73" s="259">
        <f>SUM(D74:D76)</f>
        <v>9000</v>
      </c>
      <c r="E73" s="108"/>
    </row>
    <row r="74" spans="1:5" ht="15">
      <c r="A74" s="260"/>
      <c r="B74" s="250" t="s">
        <v>242</v>
      </c>
      <c r="C74" s="254" t="s">
        <v>232</v>
      </c>
      <c r="D74" s="24">
        <v>-6374</v>
      </c>
      <c r="E74" s="89"/>
    </row>
    <row r="75" spans="1:5" ht="15">
      <c r="A75" s="260"/>
      <c r="B75" s="253" t="s">
        <v>244</v>
      </c>
      <c r="C75" s="243" t="s">
        <v>402</v>
      </c>
      <c r="D75" s="24">
        <v>6374</v>
      </c>
      <c r="E75" s="89"/>
    </row>
    <row r="76" spans="1:5" ht="15">
      <c r="A76" s="260"/>
      <c r="B76" s="250" t="s">
        <v>403</v>
      </c>
      <c r="C76" s="254" t="s">
        <v>405</v>
      </c>
      <c r="D76" s="24">
        <v>9000</v>
      </c>
      <c r="E76" s="89" t="s">
        <v>596</v>
      </c>
    </row>
    <row r="77" spans="1:5" ht="30">
      <c r="A77" s="260" t="s">
        <v>546</v>
      </c>
      <c r="B77" s="268" t="s">
        <v>583</v>
      </c>
      <c r="C77" s="254"/>
      <c r="D77" s="259">
        <f>SUM(D78:D79)</f>
        <v>3935</v>
      </c>
      <c r="E77" s="89"/>
    </row>
    <row r="78" spans="1:5" ht="30">
      <c r="A78" s="260"/>
      <c r="B78" s="250"/>
      <c r="C78" s="254" t="s">
        <v>462</v>
      </c>
      <c r="D78" s="24"/>
      <c r="E78" s="254" t="s">
        <v>451</v>
      </c>
    </row>
    <row r="79" spans="1:5" ht="18" customHeight="1">
      <c r="A79" s="260"/>
      <c r="B79" s="250"/>
      <c r="C79" s="254" t="s">
        <v>475</v>
      </c>
      <c r="D79" s="409">
        <v>3935</v>
      </c>
      <c r="E79" s="262" t="s">
        <v>9</v>
      </c>
    </row>
    <row r="80" spans="1:5" ht="15">
      <c r="A80" s="260" t="s">
        <v>425</v>
      </c>
      <c r="B80" s="273" t="s">
        <v>324</v>
      </c>
      <c r="C80" s="108"/>
      <c r="D80" s="259">
        <f>SUM(D81:D82)</f>
        <v>15000</v>
      </c>
      <c r="E80" s="89"/>
    </row>
    <row r="81" spans="1:5" ht="30">
      <c r="A81" s="120"/>
      <c r="B81" s="250" t="s">
        <v>242</v>
      </c>
      <c r="C81" s="254" t="s">
        <v>232</v>
      </c>
      <c r="D81" s="24">
        <f>5000+16860</f>
        <v>21860</v>
      </c>
      <c r="E81" s="89" t="s">
        <v>605</v>
      </c>
    </row>
    <row r="82" spans="1:5" ht="30">
      <c r="A82" s="120"/>
      <c r="B82" s="250" t="s">
        <v>243</v>
      </c>
      <c r="C82" s="254" t="s">
        <v>21</v>
      </c>
      <c r="D82" s="24">
        <f>10000-16860</f>
        <v>-6860</v>
      </c>
      <c r="E82" s="89" t="s">
        <v>683</v>
      </c>
    </row>
    <row r="83" spans="1:5" ht="28.5" customHeight="1">
      <c r="A83" s="260" t="s">
        <v>620</v>
      </c>
      <c r="B83" s="273" t="s">
        <v>547</v>
      </c>
      <c r="C83" s="108"/>
      <c r="D83" s="259">
        <f>SUM(D84:D85)</f>
        <v>0</v>
      </c>
      <c r="E83" s="108" t="s">
        <v>43</v>
      </c>
    </row>
    <row r="84" spans="1:5" ht="15">
      <c r="A84" s="120"/>
      <c r="B84" s="250" t="s">
        <v>242</v>
      </c>
      <c r="C84" s="254" t="s">
        <v>232</v>
      </c>
      <c r="D84" s="24">
        <v>4598</v>
      </c>
      <c r="E84" s="89" t="s">
        <v>621</v>
      </c>
    </row>
    <row r="85" spans="1:5" ht="15">
      <c r="A85" s="120"/>
      <c r="B85" s="250" t="s">
        <v>243</v>
      </c>
      <c r="C85" s="310" t="s">
        <v>276</v>
      </c>
      <c r="D85" s="24">
        <v>-4598</v>
      </c>
      <c r="E85" s="89"/>
    </row>
    <row r="86" spans="1:5" ht="15">
      <c r="A86" s="260" t="s">
        <v>420</v>
      </c>
      <c r="B86" s="273" t="s">
        <v>140</v>
      </c>
      <c r="C86" s="108" t="s">
        <v>430</v>
      </c>
      <c r="D86" s="323"/>
      <c r="E86" s="254" t="s">
        <v>431</v>
      </c>
    </row>
    <row r="87" spans="1:5" ht="30">
      <c r="A87" s="260"/>
      <c r="B87" s="273"/>
      <c r="C87" s="108" t="s">
        <v>23</v>
      </c>
      <c r="D87" s="326">
        <f>200+3322</f>
        <v>3522</v>
      </c>
      <c r="E87" s="174" t="s">
        <v>16</v>
      </c>
    </row>
    <row r="88" spans="1:7" s="66" customFormat="1" ht="30">
      <c r="A88" s="260" t="s">
        <v>456</v>
      </c>
      <c r="B88" s="249" t="s">
        <v>447</v>
      </c>
      <c r="C88" s="272"/>
      <c r="D88" s="259">
        <f>SUM(D89:D92)</f>
        <v>-16106</v>
      </c>
      <c r="E88" s="386" t="s">
        <v>12</v>
      </c>
      <c r="F88" s="62"/>
      <c r="G88" s="62"/>
    </row>
    <row r="89" spans="1:7" s="66" customFormat="1" ht="15">
      <c r="A89" s="260"/>
      <c r="B89" s="250" t="s">
        <v>40</v>
      </c>
      <c r="C89" s="243" t="s">
        <v>253</v>
      </c>
      <c r="D89" s="24">
        <v>-1000</v>
      </c>
      <c r="E89" s="101"/>
      <c r="F89" s="62"/>
      <c r="G89" s="62"/>
    </row>
    <row r="90" spans="1:7" s="66" customFormat="1" ht="15">
      <c r="A90" s="260"/>
      <c r="B90" s="250" t="s">
        <v>242</v>
      </c>
      <c r="C90" s="254" t="s">
        <v>232</v>
      </c>
      <c r="D90" s="24">
        <v>-12276</v>
      </c>
      <c r="E90" s="97"/>
      <c r="F90" s="62"/>
      <c r="G90" s="62"/>
    </row>
    <row r="91" spans="1:7" s="66" customFormat="1" ht="15">
      <c r="A91" s="260"/>
      <c r="B91" s="250" t="s">
        <v>244</v>
      </c>
      <c r="C91" s="243" t="s">
        <v>402</v>
      </c>
      <c r="D91" s="24">
        <f>-12000-2350</f>
        <v>-14350</v>
      </c>
      <c r="E91" s="97"/>
      <c r="F91" s="62"/>
      <c r="G91" s="62"/>
    </row>
    <row r="92" spans="1:7" s="66" customFormat="1" ht="15">
      <c r="A92" s="260"/>
      <c r="B92" s="250" t="s">
        <v>403</v>
      </c>
      <c r="C92" s="254" t="s">
        <v>405</v>
      </c>
      <c r="D92" s="24">
        <v>11520</v>
      </c>
      <c r="E92" s="97"/>
      <c r="F92" s="62"/>
      <c r="G92" s="62"/>
    </row>
    <row r="93" spans="1:7" s="66" customFormat="1" ht="30">
      <c r="A93" s="260" t="s">
        <v>456</v>
      </c>
      <c r="B93" s="249" t="s">
        <v>447</v>
      </c>
      <c r="C93" s="254"/>
      <c r="D93" s="259">
        <f>SUM(D94:D95)</f>
        <v>3423</v>
      </c>
      <c r="E93" s="97" t="s">
        <v>653</v>
      </c>
      <c r="F93" s="62"/>
      <c r="G93" s="62"/>
    </row>
    <row r="94" spans="1:7" s="66" customFormat="1" ht="15">
      <c r="A94" s="260"/>
      <c r="B94" s="250"/>
      <c r="C94" s="108" t="s">
        <v>452</v>
      </c>
      <c r="D94" s="312">
        <v>1523</v>
      </c>
      <c r="E94" s="97"/>
      <c r="F94" s="62"/>
      <c r="G94" s="62"/>
    </row>
    <row r="95" spans="1:7" s="66" customFormat="1" ht="15">
      <c r="A95" s="260"/>
      <c r="B95" s="250"/>
      <c r="C95" s="108" t="s">
        <v>23</v>
      </c>
      <c r="D95" s="387">
        <v>1900</v>
      </c>
      <c r="E95" s="97"/>
      <c r="F95" s="62"/>
      <c r="G95" s="62"/>
    </row>
    <row r="96" spans="1:7" s="66" customFormat="1" ht="30">
      <c r="A96" s="260" t="s">
        <v>144</v>
      </c>
      <c r="B96" s="249" t="s">
        <v>143</v>
      </c>
      <c r="C96" s="243"/>
      <c r="D96" s="259">
        <f>SUM(D97:D98)</f>
        <v>-3322</v>
      </c>
      <c r="E96" s="108" t="s">
        <v>654</v>
      </c>
      <c r="F96" s="62"/>
      <c r="G96" s="62"/>
    </row>
    <row r="97" spans="1:7" s="66" customFormat="1" ht="15">
      <c r="A97" s="260"/>
      <c r="B97" s="250" t="s">
        <v>242</v>
      </c>
      <c r="C97" s="254" t="s">
        <v>232</v>
      </c>
      <c r="D97" s="24">
        <f>650-3322</f>
        <v>-2672</v>
      </c>
      <c r="E97" s="274"/>
      <c r="F97" s="62"/>
      <c r="G97" s="62"/>
    </row>
    <row r="98" spans="1:7" s="66" customFormat="1" ht="15">
      <c r="A98" s="260"/>
      <c r="B98" s="250" t="s">
        <v>403</v>
      </c>
      <c r="C98" s="254" t="s">
        <v>405</v>
      </c>
      <c r="D98" s="24">
        <v>-650</v>
      </c>
      <c r="E98" s="274"/>
      <c r="F98" s="62"/>
      <c r="G98" s="62"/>
    </row>
    <row r="99" spans="1:5" ht="15">
      <c r="A99" s="270" t="s">
        <v>30</v>
      </c>
      <c r="B99" s="267" t="s">
        <v>145</v>
      </c>
      <c r="C99" s="155" t="s">
        <v>30</v>
      </c>
      <c r="D99" s="257">
        <f>D100+D117+D119+D134+D152</f>
        <v>65075</v>
      </c>
      <c r="E99" s="274"/>
    </row>
    <row r="100" spans="1:5" ht="15">
      <c r="A100" s="275" t="s">
        <v>32</v>
      </c>
      <c r="B100" s="268" t="s">
        <v>146</v>
      </c>
      <c r="C100" s="243"/>
      <c r="D100" s="271">
        <f>SUM(D101+D107+D112+D115)</f>
        <v>3351</v>
      </c>
      <c r="E100" s="108"/>
    </row>
    <row r="101" spans="1:5" ht="15">
      <c r="A101" s="276" t="s">
        <v>250</v>
      </c>
      <c r="B101" s="277" t="s">
        <v>332</v>
      </c>
      <c r="C101" s="278"/>
      <c r="D101" s="259">
        <f>SUM(D102:D106)</f>
        <v>0</v>
      </c>
      <c r="E101" s="108" t="s">
        <v>43</v>
      </c>
    </row>
    <row r="102" spans="1:5" ht="15">
      <c r="A102" s="276"/>
      <c r="B102" s="250" t="s">
        <v>40</v>
      </c>
      <c r="C102" s="243" t="s">
        <v>253</v>
      </c>
      <c r="D102" s="24">
        <v>-1562</v>
      </c>
      <c r="E102" s="108"/>
    </row>
    <row r="103" spans="1:5" ht="15">
      <c r="A103" s="276"/>
      <c r="B103" s="250" t="s">
        <v>41</v>
      </c>
      <c r="C103" s="243" t="s">
        <v>29</v>
      </c>
      <c r="D103" s="24">
        <v>-368</v>
      </c>
      <c r="E103" s="108"/>
    </row>
    <row r="104" spans="1:5" ht="15">
      <c r="A104" s="276"/>
      <c r="B104" s="250" t="s">
        <v>242</v>
      </c>
      <c r="C104" s="254" t="s">
        <v>232</v>
      </c>
      <c r="D104" s="24">
        <v>6250</v>
      </c>
      <c r="E104" s="108"/>
    </row>
    <row r="105" spans="1:6" ht="15">
      <c r="A105" s="276"/>
      <c r="B105" s="253" t="s">
        <v>244</v>
      </c>
      <c r="C105" s="243" t="s">
        <v>402</v>
      </c>
      <c r="D105" s="24">
        <v>-1320</v>
      </c>
      <c r="E105" s="108"/>
      <c r="F105" s="66"/>
    </row>
    <row r="106" spans="1:5" ht="15">
      <c r="A106" s="276"/>
      <c r="B106" s="250" t="s">
        <v>243</v>
      </c>
      <c r="C106" s="243" t="s">
        <v>237</v>
      </c>
      <c r="D106" s="24">
        <v>-3000</v>
      </c>
      <c r="E106" s="279"/>
    </row>
    <row r="107" spans="1:5" ht="15">
      <c r="A107" s="280" t="s">
        <v>415</v>
      </c>
      <c r="B107" s="256" t="s">
        <v>334</v>
      </c>
      <c r="C107" s="243"/>
      <c r="D107" s="259">
        <f>SUM(D108:D111)</f>
        <v>1945</v>
      </c>
      <c r="E107" s="108"/>
    </row>
    <row r="108" spans="1:5" ht="15">
      <c r="A108" s="280"/>
      <c r="B108" s="250" t="s">
        <v>40</v>
      </c>
      <c r="C108" s="243" t="s">
        <v>253</v>
      </c>
      <c r="D108" s="24">
        <v>-2000</v>
      </c>
      <c r="E108" s="108" t="s">
        <v>43</v>
      </c>
    </row>
    <row r="109" spans="1:5" ht="15">
      <c r="A109" s="280"/>
      <c r="B109" s="253" t="s">
        <v>242</v>
      </c>
      <c r="C109" s="108" t="s">
        <v>232</v>
      </c>
      <c r="D109" s="24">
        <f>1945+4000</f>
        <v>5945</v>
      </c>
      <c r="E109" s="85" t="s">
        <v>597</v>
      </c>
    </row>
    <row r="110" spans="1:5" ht="15">
      <c r="A110" s="280"/>
      <c r="B110" s="253" t="s">
        <v>244</v>
      </c>
      <c r="C110" s="243" t="s">
        <v>402</v>
      </c>
      <c r="D110" s="24">
        <v>-2000</v>
      </c>
      <c r="E110" s="85"/>
    </row>
    <row r="111" spans="1:5" ht="15">
      <c r="A111" s="280"/>
      <c r="B111" s="250" t="s">
        <v>243</v>
      </c>
      <c r="C111" s="243" t="s">
        <v>237</v>
      </c>
      <c r="D111" s="24"/>
      <c r="E111" s="85"/>
    </row>
    <row r="112" spans="1:5" s="281" customFormat="1" ht="15">
      <c r="A112" s="280" t="s">
        <v>251</v>
      </c>
      <c r="B112" s="249" t="s">
        <v>336</v>
      </c>
      <c r="C112" s="243"/>
      <c r="D112" s="259">
        <f>SUM(D113:D114)</f>
        <v>0</v>
      </c>
      <c r="E112" s="108"/>
    </row>
    <row r="113" spans="1:5" s="281" customFormat="1" ht="15">
      <c r="A113" s="280"/>
      <c r="B113" s="253" t="s">
        <v>242</v>
      </c>
      <c r="C113" s="108" t="s">
        <v>232</v>
      </c>
      <c r="D113" s="315">
        <v>450</v>
      </c>
      <c r="E113" s="107"/>
    </row>
    <row r="114" spans="1:5" s="281" customFormat="1" ht="15">
      <c r="A114" s="280"/>
      <c r="B114" s="250" t="s">
        <v>244</v>
      </c>
      <c r="C114" s="243" t="s">
        <v>402</v>
      </c>
      <c r="D114" s="261">
        <v>-450</v>
      </c>
      <c r="E114" s="108" t="s">
        <v>43</v>
      </c>
    </row>
    <row r="115" spans="1:6" s="281" customFormat="1" ht="15">
      <c r="A115" s="280" t="s">
        <v>212</v>
      </c>
      <c r="B115" s="256" t="s">
        <v>339</v>
      </c>
      <c r="C115" s="243"/>
      <c r="D115" s="259">
        <f>SUM(D116:D116)</f>
        <v>1406</v>
      </c>
      <c r="E115" s="108" t="s">
        <v>43</v>
      </c>
      <c r="F115" s="62"/>
    </row>
    <row r="116" spans="1:6" s="281" customFormat="1" ht="15">
      <c r="A116" s="280"/>
      <c r="B116" s="253" t="s">
        <v>242</v>
      </c>
      <c r="C116" s="108" t="s">
        <v>232</v>
      </c>
      <c r="D116" s="24">
        <v>1406</v>
      </c>
      <c r="E116" s="107" t="s">
        <v>661</v>
      </c>
      <c r="F116" s="62"/>
    </row>
    <row r="117" spans="1:5" s="281" customFormat="1" ht="15">
      <c r="A117" s="275" t="s">
        <v>275</v>
      </c>
      <c r="B117" s="249" t="s">
        <v>154</v>
      </c>
      <c r="C117" s="243"/>
      <c r="D117" s="37">
        <f>SUM(D118:D118)</f>
        <v>5363</v>
      </c>
      <c r="E117" s="108"/>
    </row>
    <row r="118" spans="1:7" s="281" customFormat="1" ht="30">
      <c r="A118" s="275"/>
      <c r="B118" s="253" t="s">
        <v>242</v>
      </c>
      <c r="C118" s="243" t="s">
        <v>232</v>
      </c>
      <c r="D118" s="24">
        <f>5363</f>
        <v>5363</v>
      </c>
      <c r="E118" s="85" t="s">
        <v>18</v>
      </c>
      <c r="F118" s="302"/>
      <c r="G118" s="393"/>
    </row>
    <row r="119" spans="1:5" ht="15">
      <c r="A119" s="275" t="s">
        <v>174</v>
      </c>
      <c r="B119" s="268" t="s">
        <v>153</v>
      </c>
      <c r="C119" s="243"/>
      <c r="D119" s="271">
        <f>D120+D124+D127+D131</f>
        <v>5593</v>
      </c>
      <c r="E119" s="85"/>
    </row>
    <row r="120" spans="1:9" ht="15">
      <c r="A120" s="282" t="s">
        <v>155</v>
      </c>
      <c r="B120" s="268" t="s">
        <v>344</v>
      </c>
      <c r="C120" s="243"/>
      <c r="D120" s="259">
        <f>SUM(D121:D123)</f>
        <v>500</v>
      </c>
      <c r="E120" s="108"/>
      <c r="F120" s="305"/>
      <c r="G120" s="305"/>
      <c r="H120" s="305"/>
      <c r="I120" s="305"/>
    </row>
    <row r="121" spans="1:9" ht="15">
      <c r="A121" s="282"/>
      <c r="B121" s="250" t="s">
        <v>40</v>
      </c>
      <c r="C121" s="243" t="s">
        <v>253</v>
      </c>
      <c r="D121" s="24">
        <v>-1000</v>
      </c>
      <c r="E121" s="108" t="s">
        <v>43</v>
      </c>
      <c r="F121" s="379"/>
      <c r="G121" s="305"/>
      <c r="H121" s="305"/>
      <c r="I121" s="305"/>
    </row>
    <row r="122" spans="1:5" ht="15">
      <c r="A122" s="282"/>
      <c r="B122" s="253" t="s">
        <v>242</v>
      </c>
      <c r="C122" s="243" t="s">
        <v>232</v>
      </c>
      <c r="D122" s="24">
        <v>500</v>
      </c>
      <c r="E122" s="85" t="s">
        <v>622</v>
      </c>
    </row>
    <row r="123" spans="1:5" ht="15">
      <c r="A123" s="275"/>
      <c r="B123" s="253" t="s">
        <v>244</v>
      </c>
      <c r="C123" s="243" t="s">
        <v>402</v>
      </c>
      <c r="D123" s="24">
        <v>1000</v>
      </c>
      <c r="E123" s="85"/>
    </row>
    <row r="124" spans="1:5" ht="15">
      <c r="A124" s="282" t="s">
        <v>271</v>
      </c>
      <c r="B124" s="268" t="s">
        <v>345</v>
      </c>
      <c r="C124" s="243"/>
      <c r="D124" s="259">
        <f>SUM(D125:D126)</f>
        <v>1573</v>
      </c>
      <c r="E124" s="108"/>
    </row>
    <row r="125" spans="1:5" ht="15">
      <c r="A125" s="282"/>
      <c r="B125" s="250" t="s">
        <v>242</v>
      </c>
      <c r="C125" s="243" t="s">
        <v>232</v>
      </c>
      <c r="D125" s="24">
        <v>150</v>
      </c>
      <c r="E125" s="89" t="s">
        <v>607</v>
      </c>
    </row>
    <row r="126" spans="1:5" ht="30">
      <c r="A126" s="282"/>
      <c r="B126" s="250" t="s">
        <v>243</v>
      </c>
      <c r="C126" s="243" t="s">
        <v>237</v>
      </c>
      <c r="D126" s="24">
        <v>1423</v>
      </c>
      <c r="E126" s="89" t="s">
        <v>606</v>
      </c>
    </row>
    <row r="127" spans="1:5" ht="15">
      <c r="A127" s="282" t="s">
        <v>156</v>
      </c>
      <c r="B127" s="249" t="s">
        <v>347</v>
      </c>
      <c r="C127" s="243"/>
      <c r="D127" s="259">
        <f>SUM(D128:D130)</f>
        <v>3520</v>
      </c>
      <c r="E127" s="108"/>
    </row>
    <row r="128" spans="1:5" ht="15">
      <c r="A128" s="282"/>
      <c r="B128" s="250" t="s">
        <v>242</v>
      </c>
      <c r="C128" s="243" t="s">
        <v>232</v>
      </c>
      <c r="D128" s="24">
        <v>800</v>
      </c>
      <c r="E128" s="108" t="s">
        <v>43</v>
      </c>
    </row>
    <row r="129" spans="1:6" ht="15">
      <c r="A129" s="282"/>
      <c r="B129" s="250" t="s">
        <v>244</v>
      </c>
      <c r="C129" s="243" t="s">
        <v>402</v>
      </c>
      <c r="D129" s="24">
        <v>-800</v>
      </c>
      <c r="E129" s="85"/>
      <c r="F129" s="283"/>
    </row>
    <row r="130" spans="1:6" ht="15">
      <c r="A130" s="282"/>
      <c r="B130" s="250" t="s">
        <v>243</v>
      </c>
      <c r="C130" s="243" t="s">
        <v>237</v>
      </c>
      <c r="D130" s="24">
        <v>3520</v>
      </c>
      <c r="E130" s="85" t="s">
        <v>608</v>
      </c>
      <c r="F130" s="66"/>
    </row>
    <row r="131" spans="1:6" ht="15">
      <c r="A131" s="282" t="s">
        <v>157</v>
      </c>
      <c r="B131" s="249" t="s">
        <v>348</v>
      </c>
      <c r="C131" s="243"/>
      <c r="D131" s="319">
        <f>SUM(D132:D133)</f>
        <v>0</v>
      </c>
      <c r="E131" s="108" t="s">
        <v>43</v>
      </c>
      <c r="F131" s="66"/>
    </row>
    <row r="132" spans="1:6" ht="15">
      <c r="A132" s="282"/>
      <c r="B132" s="250" t="s">
        <v>242</v>
      </c>
      <c r="C132" s="243" t="s">
        <v>232</v>
      </c>
      <c r="D132" s="24">
        <v>0</v>
      </c>
      <c r="E132" s="85"/>
      <c r="F132" s="66"/>
    </row>
    <row r="133" spans="1:6" ht="15">
      <c r="A133" s="282"/>
      <c r="B133" s="250" t="s">
        <v>243</v>
      </c>
      <c r="C133" s="243" t="s">
        <v>237</v>
      </c>
      <c r="D133" s="24">
        <v>0</v>
      </c>
      <c r="E133" s="85"/>
      <c r="F133" s="66"/>
    </row>
    <row r="134" spans="1:6" s="240" customFormat="1" ht="27.75" customHeight="1">
      <c r="A134" s="284" t="s">
        <v>159</v>
      </c>
      <c r="B134" s="249" t="s">
        <v>158</v>
      </c>
      <c r="C134" s="282"/>
      <c r="D134" s="285">
        <f>D135+D141+D144+D147</f>
        <v>48318</v>
      </c>
      <c r="E134" s="286"/>
      <c r="F134" s="287"/>
    </row>
    <row r="135" spans="1:5" s="287" customFormat="1" ht="15">
      <c r="A135" s="260" t="s">
        <v>39</v>
      </c>
      <c r="B135" s="256" t="s">
        <v>354</v>
      </c>
      <c r="C135" s="286"/>
      <c r="D135" s="300">
        <f>SUM(D136:D140)</f>
        <v>39684</v>
      </c>
      <c r="E135" s="108"/>
    </row>
    <row r="136" spans="1:5" s="240" customFormat="1" ht="15">
      <c r="A136" s="258"/>
      <c r="B136" s="250" t="s">
        <v>40</v>
      </c>
      <c r="C136" s="243" t="s">
        <v>253</v>
      </c>
      <c r="D136" s="289">
        <v>-2000</v>
      </c>
      <c r="E136" s="108" t="s">
        <v>43</v>
      </c>
    </row>
    <row r="137" spans="1:5" s="240" customFormat="1" ht="29.25" customHeight="1">
      <c r="A137" s="258"/>
      <c r="B137" s="250" t="s">
        <v>241</v>
      </c>
      <c r="C137" s="306" t="s">
        <v>231</v>
      </c>
      <c r="D137" s="289">
        <v>2030</v>
      </c>
      <c r="E137" s="85" t="s">
        <v>603</v>
      </c>
    </row>
    <row r="138" spans="1:5" s="240" customFormat="1" ht="45">
      <c r="A138" s="258"/>
      <c r="B138" s="250" t="s">
        <v>242</v>
      </c>
      <c r="C138" s="243" t="s">
        <v>232</v>
      </c>
      <c r="D138" s="251">
        <f>14126+1400</f>
        <v>15526</v>
      </c>
      <c r="E138" s="85" t="s">
        <v>22</v>
      </c>
    </row>
    <row r="139" spans="1:5" s="240" customFormat="1" ht="15">
      <c r="A139" s="258"/>
      <c r="B139" s="250" t="s">
        <v>244</v>
      </c>
      <c r="C139" s="243" t="s">
        <v>402</v>
      </c>
      <c r="D139" s="251">
        <f>-2040-832</f>
        <v>-2872</v>
      </c>
      <c r="E139" s="174" t="s">
        <v>660</v>
      </c>
    </row>
    <row r="140" spans="1:5" s="240" customFormat="1" ht="15">
      <c r="A140" s="258"/>
      <c r="B140" s="250" t="s">
        <v>243</v>
      </c>
      <c r="C140" s="243" t="s">
        <v>237</v>
      </c>
      <c r="D140" s="289">
        <v>27000</v>
      </c>
      <c r="E140" s="279" t="s">
        <v>598</v>
      </c>
    </row>
    <row r="141" spans="1:5" s="240" customFormat="1" ht="15">
      <c r="A141" s="258" t="s">
        <v>160</v>
      </c>
      <c r="B141" s="249" t="s">
        <v>356</v>
      </c>
      <c r="C141" s="243"/>
      <c r="D141" s="288">
        <f>SUM(D142:D143)</f>
        <v>6528</v>
      </c>
      <c r="E141" s="108"/>
    </row>
    <row r="142" spans="1:5" s="287" customFormat="1" ht="15">
      <c r="A142" s="260"/>
      <c r="B142" s="253" t="s">
        <v>242</v>
      </c>
      <c r="C142" s="108" t="s">
        <v>232</v>
      </c>
      <c r="D142" s="251">
        <v>0</v>
      </c>
      <c r="E142" s="108" t="s">
        <v>43</v>
      </c>
    </row>
    <row r="143" spans="1:5" s="240" customFormat="1" ht="45">
      <c r="A143" s="258"/>
      <c r="B143" s="250" t="s">
        <v>243</v>
      </c>
      <c r="C143" s="108" t="s">
        <v>237</v>
      </c>
      <c r="D143" s="251">
        <f>5328+1200</f>
        <v>6528</v>
      </c>
      <c r="E143" s="174" t="s">
        <v>665</v>
      </c>
    </row>
    <row r="144" spans="1:5" s="240" customFormat="1" ht="30">
      <c r="A144" s="258" t="s">
        <v>161</v>
      </c>
      <c r="B144" s="249" t="s">
        <v>357</v>
      </c>
      <c r="C144" s="243"/>
      <c r="D144" s="300">
        <f>SUM(D145:D146)</f>
        <v>1715</v>
      </c>
      <c r="E144" s="174" t="s">
        <v>602</v>
      </c>
    </row>
    <row r="145" spans="1:5" s="240" customFormat="1" ht="15">
      <c r="A145" s="258"/>
      <c r="B145" s="250" t="s">
        <v>244</v>
      </c>
      <c r="C145" s="243" t="s">
        <v>402</v>
      </c>
      <c r="D145" s="405">
        <v>510</v>
      </c>
      <c r="E145" s="108" t="s">
        <v>679</v>
      </c>
    </row>
    <row r="146" spans="1:5" s="240" customFormat="1" ht="15">
      <c r="A146" s="258"/>
      <c r="B146" s="250" t="s">
        <v>243</v>
      </c>
      <c r="C146" s="243" t="s">
        <v>237</v>
      </c>
      <c r="D146" s="251">
        <v>1205</v>
      </c>
      <c r="E146" s="174" t="s">
        <v>680</v>
      </c>
    </row>
    <row r="147" spans="1:5" s="240" customFormat="1" ht="30">
      <c r="A147" s="260" t="s">
        <v>162</v>
      </c>
      <c r="B147" s="249" t="s">
        <v>358</v>
      </c>
      <c r="C147" s="243"/>
      <c r="D147" s="300">
        <f>SUM(D148:D151)</f>
        <v>391</v>
      </c>
      <c r="E147" s="89" t="s">
        <v>645</v>
      </c>
    </row>
    <row r="148" spans="1:5" s="240" customFormat="1" ht="15">
      <c r="A148" s="260"/>
      <c r="B148" s="250" t="s">
        <v>40</v>
      </c>
      <c r="C148" s="243" t="s">
        <v>253</v>
      </c>
      <c r="D148" s="251">
        <v>640</v>
      </c>
      <c r="E148" s="89"/>
    </row>
    <row r="149" spans="1:5" s="240" customFormat="1" ht="15">
      <c r="A149" s="260"/>
      <c r="B149" s="250" t="s">
        <v>41</v>
      </c>
      <c r="C149" s="243" t="s">
        <v>29</v>
      </c>
      <c r="D149" s="251">
        <v>151</v>
      </c>
      <c r="E149" s="89"/>
    </row>
    <row r="150" spans="1:12" s="240" customFormat="1" ht="30">
      <c r="A150" s="260"/>
      <c r="B150" s="250" t="s">
        <v>242</v>
      </c>
      <c r="C150" s="243" t="s">
        <v>232</v>
      </c>
      <c r="D150" s="251">
        <v>100</v>
      </c>
      <c r="E150" s="174" t="s">
        <v>662</v>
      </c>
      <c r="F150" s="302"/>
      <c r="G150" s="281"/>
      <c r="H150" s="281"/>
      <c r="I150" s="281"/>
      <c r="J150" s="281"/>
      <c r="K150" s="281"/>
      <c r="L150" s="281"/>
    </row>
    <row r="151" spans="1:5" s="240" customFormat="1" ht="15">
      <c r="A151" s="258"/>
      <c r="B151" s="250" t="s">
        <v>244</v>
      </c>
      <c r="C151" s="243" t="s">
        <v>402</v>
      </c>
      <c r="D151" s="251">
        <v>-500</v>
      </c>
      <c r="E151" s="174"/>
    </row>
    <row r="152" spans="1:5" s="287" customFormat="1" ht="29.25">
      <c r="A152" s="290" t="s">
        <v>399</v>
      </c>
      <c r="B152" s="256" t="s">
        <v>163</v>
      </c>
      <c r="C152" s="108"/>
      <c r="D152" s="38">
        <f>SUM(D153+D157)</f>
        <v>2450</v>
      </c>
      <c r="E152" s="174"/>
    </row>
    <row r="153" spans="1:5" s="240" customFormat="1" ht="45">
      <c r="A153" s="384" t="s">
        <v>650</v>
      </c>
      <c r="B153" s="249" t="s">
        <v>561</v>
      </c>
      <c r="C153" s="306"/>
      <c r="D153" s="259">
        <f>SUM(D154:D156)</f>
        <v>0</v>
      </c>
      <c r="E153" s="174" t="s">
        <v>43</v>
      </c>
    </row>
    <row r="154" spans="1:5" s="240" customFormat="1" ht="15">
      <c r="A154" s="384"/>
      <c r="B154" s="250" t="s">
        <v>241</v>
      </c>
      <c r="C154" s="306" t="s">
        <v>231</v>
      </c>
      <c r="D154" s="24">
        <v>-626</v>
      </c>
      <c r="E154" s="385"/>
    </row>
    <row r="155" spans="1:5" s="240" customFormat="1" ht="15">
      <c r="A155" s="384"/>
      <c r="B155" s="250" t="s">
        <v>242</v>
      </c>
      <c r="C155" s="243" t="s">
        <v>232</v>
      </c>
      <c r="D155" s="24">
        <v>508</v>
      </c>
      <c r="E155" s="279"/>
    </row>
    <row r="156" spans="1:5" s="240" customFormat="1" ht="15">
      <c r="A156" s="384"/>
      <c r="B156" s="250" t="s">
        <v>244</v>
      </c>
      <c r="C156" s="243" t="s">
        <v>402</v>
      </c>
      <c r="D156" s="24">
        <v>118</v>
      </c>
      <c r="E156" s="279"/>
    </row>
    <row r="157" spans="1:5" s="240" customFormat="1" ht="45">
      <c r="A157" s="384" t="s">
        <v>647</v>
      </c>
      <c r="B157" s="249" t="s">
        <v>648</v>
      </c>
      <c r="C157" s="306"/>
      <c r="D157" s="259">
        <f>SUM(D158:D159)</f>
        <v>2450</v>
      </c>
      <c r="E157" s="385" t="s">
        <v>649</v>
      </c>
    </row>
    <row r="158" spans="1:5" s="240" customFormat="1" ht="15">
      <c r="A158" s="384"/>
      <c r="B158" s="250" t="s">
        <v>242</v>
      </c>
      <c r="C158" s="243" t="s">
        <v>232</v>
      </c>
      <c r="D158" s="24">
        <f>3180-1050</f>
        <v>2130</v>
      </c>
      <c r="E158" s="279"/>
    </row>
    <row r="159" spans="1:5" s="240" customFormat="1" ht="15">
      <c r="A159" s="384"/>
      <c r="B159" s="250" t="s">
        <v>244</v>
      </c>
      <c r="C159" s="243" t="s">
        <v>402</v>
      </c>
      <c r="D159" s="24">
        <v>320</v>
      </c>
      <c r="E159" s="279"/>
    </row>
    <row r="160" spans="1:5" ht="15">
      <c r="A160" s="270" t="s">
        <v>164</v>
      </c>
      <c r="B160" s="267" t="s">
        <v>38</v>
      </c>
      <c r="C160" s="120" t="s">
        <v>164</v>
      </c>
      <c r="D160" s="257">
        <f>SUM(D161,D165,D166,D169,D171,D173)</f>
        <v>6059</v>
      </c>
      <c r="E160" s="108"/>
    </row>
    <row r="161" spans="1:5" ht="30">
      <c r="A161" s="316" t="s">
        <v>269</v>
      </c>
      <c r="B161" s="256" t="s">
        <v>480</v>
      </c>
      <c r="C161" s="120"/>
      <c r="D161" s="37">
        <f>SUM(D162:D164)</f>
        <v>0</v>
      </c>
      <c r="E161" s="174" t="s">
        <v>43</v>
      </c>
    </row>
    <row r="162" spans="1:5" ht="15">
      <c r="A162" s="270"/>
      <c r="B162" s="250" t="s">
        <v>241</v>
      </c>
      <c r="C162" s="306" t="s">
        <v>231</v>
      </c>
      <c r="D162" s="315">
        <v>220</v>
      </c>
      <c r="E162" s="108"/>
    </row>
    <row r="163" spans="1:5" ht="15">
      <c r="A163" s="270"/>
      <c r="B163" s="250" t="s">
        <v>242</v>
      </c>
      <c r="C163" s="254" t="s">
        <v>232</v>
      </c>
      <c r="D163" s="315">
        <v>-100</v>
      </c>
      <c r="E163" s="108"/>
    </row>
    <row r="164" spans="1:5" ht="15">
      <c r="A164" s="270"/>
      <c r="B164" s="250" t="s">
        <v>244</v>
      </c>
      <c r="C164" s="243" t="s">
        <v>402</v>
      </c>
      <c r="D164" s="315">
        <v>-120</v>
      </c>
      <c r="E164" s="108"/>
    </row>
    <row r="165" spans="1:5" ht="45">
      <c r="A165" s="321" t="s">
        <v>168</v>
      </c>
      <c r="B165" s="249" t="s">
        <v>167</v>
      </c>
      <c r="C165" s="243" t="s">
        <v>476</v>
      </c>
      <c r="D165" s="322"/>
      <c r="E165" s="254" t="s">
        <v>451</v>
      </c>
    </row>
    <row r="166" spans="1:5" ht="30">
      <c r="A166" s="258" t="s">
        <v>55</v>
      </c>
      <c r="B166" s="249" t="s">
        <v>364</v>
      </c>
      <c r="C166" s="243"/>
      <c r="D166" s="259">
        <f>SUM(D167:D168)</f>
        <v>2929</v>
      </c>
      <c r="E166" s="174"/>
    </row>
    <row r="167" spans="1:5" ht="30">
      <c r="A167" s="282"/>
      <c r="B167" s="250" t="s">
        <v>423</v>
      </c>
      <c r="C167" s="243" t="s">
        <v>424</v>
      </c>
      <c r="D167" s="24">
        <v>2929</v>
      </c>
      <c r="E167" s="89" t="s">
        <v>682</v>
      </c>
    </row>
    <row r="168" spans="1:5" ht="15">
      <c r="A168" s="282"/>
      <c r="B168" s="250" t="s">
        <v>427</v>
      </c>
      <c r="C168" s="243" t="s">
        <v>239</v>
      </c>
      <c r="D168" s="24"/>
      <c r="E168" s="89"/>
    </row>
    <row r="169" spans="1:5" ht="15">
      <c r="A169" s="376" t="s">
        <v>457</v>
      </c>
      <c r="B169" s="249" t="s">
        <v>458</v>
      </c>
      <c r="C169" s="243"/>
      <c r="D169" s="259">
        <f>SUM(D170:D170)</f>
        <v>1630</v>
      </c>
      <c r="E169" s="174"/>
    </row>
    <row r="170" spans="1:5" ht="30">
      <c r="A170" s="282"/>
      <c r="B170" s="250" t="s">
        <v>403</v>
      </c>
      <c r="C170" s="254" t="s">
        <v>405</v>
      </c>
      <c r="D170" s="24">
        <v>1630</v>
      </c>
      <c r="E170" s="89" t="s">
        <v>599</v>
      </c>
    </row>
    <row r="171" spans="1:5" ht="60">
      <c r="A171" s="260" t="s">
        <v>651</v>
      </c>
      <c r="B171" s="249" t="s">
        <v>652</v>
      </c>
      <c r="C171" s="254"/>
      <c r="D171" s="259">
        <f>D172</f>
        <v>1200</v>
      </c>
      <c r="E171" s="385" t="s">
        <v>649</v>
      </c>
    </row>
    <row r="172" spans="1:5" ht="15">
      <c r="A172" s="282"/>
      <c r="B172" s="250" t="s">
        <v>242</v>
      </c>
      <c r="C172" s="254" t="s">
        <v>232</v>
      </c>
      <c r="D172" s="24">
        <v>1200</v>
      </c>
      <c r="E172" s="89"/>
    </row>
    <row r="173" spans="1:5" ht="15">
      <c r="A173" s="282" t="s">
        <v>593</v>
      </c>
      <c r="B173" s="249" t="s">
        <v>594</v>
      </c>
      <c r="C173" s="254"/>
      <c r="D173" s="259">
        <f>D174</f>
        <v>300</v>
      </c>
      <c r="E173" s="89"/>
    </row>
    <row r="174" spans="1:5" ht="15">
      <c r="A174" s="282"/>
      <c r="B174" s="250" t="s">
        <v>403</v>
      </c>
      <c r="C174" s="254" t="s">
        <v>405</v>
      </c>
      <c r="D174" s="24">
        <v>300</v>
      </c>
      <c r="E174" s="89" t="s">
        <v>600</v>
      </c>
    </row>
    <row r="175" spans="1:5" ht="15">
      <c r="A175" s="243" t="s">
        <v>180</v>
      </c>
      <c r="B175" s="250"/>
      <c r="C175" s="243"/>
      <c r="D175" s="37"/>
      <c r="E175" s="108"/>
    </row>
    <row r="176" spans="1:5" s="291" customFormat="1" ht="14.25">
      <c r="A176" s="270"/>
      <c r="B176" s="267"/>
      <c r="C176" s="270" t="s">
        <v>42</v>
      </c>
      <c r="D176" s="257">
        <f>D5+D12+D15+D41+D49+D72+D99+D160+D175</f>
        <v>65960</v>
      </c>
      <c r="E176" s="37"/>
    </row>
    <row r="177" spans="1:7" ht="15">
      <c r="A177" s="202" t="s">
        <v>58</v>
      </c>
      <c r="B177" s="135" t="s">
        <v>229</v>
      </c>
      <c r="D177" s="292">
        <v>739730</v>
      </c>
      <c r="G177" s="63"/>
    </row>
    <row r="178" spans="1:7" ht="15">
      <c r="A178" s="304"/>
      <c r="B178" s="303"/>
      <c r="D178" s="292"/>
      <c r="G178" s="63"/>
    </row>
    <row r="179" spans="1:5" ht="15">
      <c r="A179" s="62" t="s">
        <v>478</v>
      </c>
      <c r="B179" s="135"/>
      <c r="D179" s="293"/>
      <c r="E179" s="64"/>
    </row>
    <row r="180" ht="15">
      <c r="A180" s="62" t="s">
        <v>474</v>
      </c>
    </row>
    <row r="181" spans="1:4" ht="15">
      <c r="A181" s="62" t="s">
        <v>481</v>
      </c>
      <c r="D181" s="83"/>
    </row>
    <row r="182" ht="15">
      <c r="D182" s="294">
        <f>Ieņēmumi!G7+Ieņēmumi!G8+Ieņēmumi!G9-Izdevumi!D176-Izdevumi!D177-Izdevumi!D179-D178-Izdevumi!D180-D181-'Fin. pagastu pārv.'!Q12</f>
        <v>0</v>
      </c>
    </row>
    <row r="183" ht="15">
      <c r="D183" s="294"/>
    </row>
    <row r="184" spans="1:4" ht="15">
      <c r="A184" s="62" t="s">
        <v>58</v>
      </c>
      <c r="D184" s="63" t="s">
        <v>176</v>
      </c>
    </row>
    <row r="185" spans="1:4" ht="47.25">
      <c r="A185" s="422" t="s">
        <v>466</v>
      </c>
      <c r="B185" s="423"/>
      <c r="C185" s="424"/>
      <c r="D185" s="299" t="s">
        <v>467</v>
      </c>
    </row>
    <row r="186" spans="1:5" ht="41.25" customHeight="1">
      <c r="A186" s="428" t="s">
        <v>485</v>
      </c>
      <c r="B186" s="429"/>
      <c r="C186" s="324" t="s">
        <v>484</v>
      </c>
      <c r="D186" s="24">
        <v>739730</v>
      </c>
      <c r="E186" s="240"/>
    </row>
    <row r="187" spans="1:4" ht="15">
      <c r="A187" s="428"/>
      <c r="B187" s="429"/>
      <c r="C187" s="324"/>
      <c r="D187" s="375"/>
    </row>
    <row r="188" spans="1:4" ht="15">
      <c r="A188" s="425" t="s">
        <v>257</v>
      </c>
      <c r="B188" s="426"/>
      <c r="C188" s="427"/>
      <c r="D188" s="271">
        <f>SUM(D186:D187)</f>
        <v>739730</v>
      </c>
    </row>
    <row r="189" ht="15">
      <c r="D189" s="294"/>
    </row>
    <row r="190" spans="1:5" ht="15">
      <c r="A190" s="62" t="s">
        <v>464</v>
      </c>
      <c r="B190" s="62"/>
      <c r="C190" s="63"/>
      <c r="E190" s="63" t="s">
        <v>59</v>
      </c>
    </row>
    <row r="191" spans="2:5" ht="15">
      <c r="B191" s="62"/>
      <c r="C191" s="63"/>
      <c r="E191" s="63"/>
    </row>
  </sheetData>
  <sheetProtection/>
  <mergeCells count="5">
    <mergeCell ref="A2:E2"/>
    <mergeCell ref="A185:C185"/>
    <mergeCell ref="A188:C188"/>
    <mergeCell ref="A186:B186"/>
    <mergeCell ref="A187:B187"/>
  </mergeCells>
  <printOptions/>
  <pageMargins left="0.5511811023622047" right="0.5511811023622047" top="0.69" bottom="0.52" header="0.5118110236220472" footer="0.511811023622047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7"/>
  <sheetViews>
    <sheetView zoomScalePageLayoutView="0" workbookViewId="0" topLeftCell="A1">
      <pane xSplit="1" ySplit="2" topLeftCell="B3" activePane="bottomRight" state="frozen"/>
      <selection pane="topLeft" activeCell="J8" sqref="J8"/>
      <selection pane="topRight" activeCell="J8" sqref="J8"/>
      <selection pane="bottomLeft" activeCell="J8" sqref="J8"/>
      <selection pane="bottomRight" activeCell="P17" sqref="P17"/>
    </sheetView>
  </sheetViews>
  <sheetFormatPr defaultColWidth="9.140625" defaultRowHeight="12.75" outlineLevelRow="1"/>
  <cols>
    <col min="1" max="1" width="27.57421875" style="0" customWidth="1"/>
    <col min="2" max="2" width="11.28125" style="0" customWidth="1"/>
    <col min="3" max="3" width="10.8515625" style="0" customWidth="1"/>
    <col min="4" max="4" width="8.7109375" style="0" customWidth="1"/>
    <col min="5" max="5" width="9.140625" style="0" customWidth="1"/>
    <col min="6" max="6" width="9.8515625" style="0" customWidth="1"/>
    <col min="7" max="7" width="9.28125" style="0" customWidth="1"/>
    <col min="8" max="8" width="8.28125" style="0" customWidth="1"/>
    <col min="9" max="9" width="9.00390625" style="0" customWidth="1"/>
    <col min="10" max="10" width="11.00390625" style="0" customWidth="1"/>
    <col min="11" max="11" width="9.28125" style="0" customWidth="1"/>
    <col min="13" max="13" width="9.28125" style="0" customWidth="1"/>
    <col min="14" max="14" width="6.8515625" style="0" customWidth="1"/>
    <col min="15" max="15" width="5.421875" style="0" customWidth="1"/>
    <col min="16" max="16" width="7.421875" style="19" customWidth="1"/>
    <col min="17" max="17" width="9.421875" style="0" customWidth="1"/>
  </cols>
  <sheetData>
    <row r="1" ht="13.5" thickBot="1">
      <c r="A1" s="36" t="s">
        <v>684</v>
      </c>
    </row>
    <row r="2" spans="1:18" ht="113.25" thickBot="1">
      <c r="A2" s="20"/>
      <c r="B2" s="21" t="s">
        <v>254</v>
      </c>
      <c r="C2" s="21" t="s">
        <v>385</v>
      </c>
      <c r="D2" s="21" t="s">
        <v>386</v>
      </c>
      <c r="E2" s="21" t="s">
        <v>387</v>
      </c>
      <c r="F2" s="21" t="s">
        <v>384</v>
      </c>
      <c r="G2" s="21" t="s">
        <v>388</v>
      </c>
      <c r="H2" s="21" t="s">
        <v>272</v>
      </c>
      <c r="I2" s="56" t="s">
        <v>413</v>
      </c>
      <c r="J2" s="56" t="s">
        <v>432</v>
      </c>
      <c r="K2" s="404" t="s">
        <v>17</v>
      </c>
      <c r="L2" s="22" t="s">
        <v>471</v>
      </c>
      <c r="M2" s="412" t="s">
        <v>479</v>
      </c>
      <c r="N2" s="411" t="s">
        <v>655</v>
      </c>
      <c r="O2" s="413" t="s">
        <v>255</v>
      </c>
      <c r="P2" s="414" t="s">
        <v>256</v>
      </c>
      <c r="Q2" s="23" t="s">
        <v>257</v>
      </c>
      <c r="R2" s="40"/>
    </row>
    <row r="3" spans="1:18" ht="15">
      <c r="A3" s="24" t="s">
        <v>258</v>
      </c>
      <c r="B3" s="24">
        <f>B25</f>
        <v>0</v>
      </c>
      <c r="C3" s="20"/>
      <c r="D3" s="20"/>
      <c r="E3" s="24"/>
      <c r="F3" s="24"/>
      <c r="G3" s="24"/>
      <c r="H3" s="24"/>
      <c r="I3" s="24"/>
      <c r="J3" s="24"/>
      <c r="K3" s="24"/>
      <c r="L3" s="25"/>
      <c r="M3" s="30"/>
      <c r="N3" s="11"/>
      <c r="O3" s="30"/>
      <c r="P3" s="30"/>
      <c r="Q3" s="27">
        <f aca="true" t="shared" si="0" ref="Q3:Q12">SUM(B3:P3)</f>
        <v>0</v>
      </c>
      <c r="R3" s="28"/>
    </row>
    <row r="4" spans="1:18" ht="15">
      <c r="A4" s="24" t="s">
        <v>259</v>
      </c>
      <c r="B4" s="241">
        <f>C25-N4</f>
        <v>10984</v>
      </c>
      <c r="C4" s="11"/>
      <c r="D4" s="20"/>
      <c r="E4" s="24"/>
      <c r="F4" s="24"/>
      <c r="G4" s="24"/>
      <c r="H4" s="24"/>
      <c r="I4" s="24"/>
      <c r="J4" s="24"/>
      <c r="K4" s="24"/>
      <c r="L4" s="25"/>
      <c r="M4" s="11"/>
      <c r="N4" s="241">
        <f>C19</f>
        <v>2500</v>
      </c>
      <c r="O4" s="30"/>
      <c r="P4" s="30"/>
      <c r="Q4" s="27">
        <f t="shared" si="0"/>
        <v>13484</v>
      </c>
      <c r="R4" s="28"/>
    </row>
    <row r="5" spans="1:18" ht="15">
      <c r="A5" s="24" t="s">
        <v>260</v>
      </c>
      <c r="B5" s="314">
        <f>D25-N5</f>
        <v>43</v>
      </c>
      <c r="C5" s="29"/>
      <c r="D5" s="20"/>
      <c r="E5" s="24"/>
      <c r="F5" s="24"/>
      <c r="G5" s="24"/>
      <c r="H5" s="24"/>
      <c r="I5" s="24"/>
      <c r="J5" s="24"/>
      <c r="K5" s="24"/>
      <c r="L5" s="43"/>
      <c r="M5" s="30"/>
      <c r="N5" s="241">
        <f>D19</f>
        <v>1400</v>
      </c>
      <c r="O5" s="30"/>
      <c r="P5" s="30"/>
      <c r="Q5" s="27">
        <f t="shared" si="0"/>
        <v>1443</v>
      </c>
      <c r="R5" s="28"/>
    </row>
    <row r="6" spans="1:18" ht="15">
      <c r="A6" s="24" t="s">
        <v>261</v>
      </c>
      <c r="B6" s="241">
        <f>F25-N6</f>
        <v>107</v>
      </c>
      <c r="C6" s="11"/>
      <c r="D6" s="20"/>
      <c r="E6" s="24"/>
      <c r="F6" s="24"/>
      <c r="G6" s="24"/>
      <c r="H6" s="24"/>
      <c r="I6" s="24"/>
      <c r="J6" s="24"/>
      <c r="K6" s="24"/>
      <c r="L6" s="43"/>
      <c r="M6" s="30"/>
      <c r="N6" s="241">
        <f>F19</f>
        <v>4155</v>
      </c>
      <c r="O6" s="30"/>
      <c r="P6" s="30"/>
      <c r="Q6" s="27">
        <f>SUM(B6:P6)</f>
        <v>4262</v>
      </c>
      <c r="R6" s="28"/>
    </row>
    <row r="7" spans="1:18" ht="15">
      <c r="A7" s="24" t="s">
        <v>262</v>
      </c>
      <c r="B7" s="24">
        <f>G25-N7</f>
        <v>4837</v>
      </c>
      <c r="C7" s="20"/>
      <c r="D7" s="20"/>
      <c r="E7" s="24"/>
      <c r="F7" s="24"/>
      <c r="G7" s="24"/>
      <c r="H7" s="24"/>
      <c r="I7" s="24"/>
      <c r="J7" s="24"/>
      <c r="K7" s="24"/>
      <c r="L7" s="25"/>
      <c r="M7" s="30"/>
      <c r="N7" s="241">
        <f>G19</f>
        <v>850</v>
      </c>
      <c r="O7" s="30"/>
      <c r="P7" s="30"/>
      <c r="Q7" s="27">
        <f t="shared" si="0"/>
        <v>5687</v>
      </c>
      <c r="R7" s="28"/>
    </row>
    <row r="8" spans="1:18" ht="15">
      <c r="A8" s="24" t="s">
        <v>263</v>
      </c>
      <c r="B8" s="24">
        <f>E25-N8-K8</f>
        <v>700</v>
      </c>
      <c r="C8" s="20"/>
      <c r="D8" s="20"/>
      <c r="E8" s="24"/>
      <c r="F8" s="24"/>
      <c r="G8" s="24"/>
      <c r="H8" s="24"/>
      <c r="I8" s="24"/>
      <c r="J8" s="24"/>
      <c r="K8" s="24">
        <v>21175</v>
      </c>
      <c r="L8" s="43"/>
      <c r="M8" s="30"/>
      <c r="N8" s="241">
        <f>E19</f>
        <v>949</v>
      </c>
      <c r="O8" s="30"/>
      <c r="P8" s="11"/>
      <c r="Q8" s="27">
        <f>SUM(B8:P8)</f>
        <v>22824</v>
      </c>
      <c r="R8" s="28"/>
    </row>
    <row r="9" spans="1:18" ht="15">
      <c r="A9" s="24" t="s">
        <v>264</v>
      </c>
      <c r="B9" s="24">
        <f>H25-N9</f>
        <v>-3600</v>
      </c>
      <c r="C9" s="20"/>
      <c r="D9" s="20"/>
      <c r="E9" s="24"/>
      <c r="F9" s="24"/>
      <c r="G9" s="24"/>
      <c r="H9" s="24"/>
      <c r="I9" s="24"/>
      <c r="J9" s="24"/>
      <c r="K9" s="24"/>
      <c r="L9" s="25"/>
      <c r="M9" s="24"/>
      <c r="N9" s="11">
        <v>1050</v>
      </c>
      <c r="O9" s="30"/>
      <c r="P9" s="30"/>
      <c r="Q9" s="27">
        <f t="shared" si="0"/>
        <v>-2550</v>
      </c>
      <c r="R9" s="28"/>
    </row>
    <row r="10" spans="1:18" ht="15">
      <c r="A10" s="24" t="s">
        <v>465</v>
      </c>
      <c r="B10" s="24">
        <f>J25-K10</f>
        <v>4000</v>
      </c>
      <c r="C10" s="20"/>
      <c r="D10" s="20"/>
      <c r="E10" s="24"/>
      <c r="F10" s="24"/>
      <c r="G10" s="24"/>
      <c r="H10" s="24"/>
      <c r="I10" s="24"/>
      <c r="J10" s="24"/>
      <c r="K10" s="24">
        <v>1728</v>
      </c>
      <c r="L10" s="25"/>
      <c r="M10" s="24"/>
      <c r="N10" s="11"/>
      <c r="O10" s="30"/>
      <c r="P10" s="30"/>
      <c r="Q10" s="27">
        <f t="shared" si="0"/>
        <v>5728</v>
      </c>
      <c r="R10" s="28"/>
    </row>
    <row r="11" spans="1:18" ht="15">
      <c r="A11" s="24" t="s">
        <v>265</v>
      </c>
      <c r="B11" s="24">
        <f>I25-N11</f>
        <v>50</v>
      </c>
      <c r="C11" s="46"/>
      <c r="D11" s="20"/>
      <c r="E11" s="24"/>
      <c r="F11" s="24"/>
      <c r="G11" s="24"/>
      <c r="H11" s="24"/>
      <c r="I11" s="24"/>
      <c r="J11" s="24"/>
      <c r="K11" s="24"/>
      <c r="L11" s="26"/>
      <c r="M11" s="26"/>
      <c r="N11" s="314">
        <f>I19</f>
        <v>3000</v>
      </c>
      <c r="O11" s="30"/>
      <c r="P11" s="30"/>
      <c r="Q11" s="27">
        <f t="shared" si="0"/>
        <v>3050</v>
      </c>
      <c r="R11" s="28"/>
    </row>
    <row r="12" spans="1:18" ht="12.75">
      <c r="A12" s="20" t="s">
        <v>266</v>
      </c>
      <c r="B12" s="31">
        <f>SUM(B3:B11)</f>
        <v>17121</v>
      </c>
      <c r="C12" s="31">
        <f aca="true" t="shared" si="1" ref="C12:P12">SUM(C3:C11)</f>
        <v>0</v>
      </c>
      <c r="D12" s="31">
        <f t="shared" si="1"/>
        <v>0</v>
      </c>
      <c r="E12" s="31">
        <f t="shared" si="1"/>
        <v>0</v>
      </c>
      <c r="F12" s="31">
        <f t="shared" si="1"/>
        <v>0</v>
      </c>
      <c r="G12" s="31">
        <f t="shared" si="1"/>
        <v>0</v>
      </c>
      <c r="H12" s="31">
        <f t="shared" si="1"/>
        <v>0</v>
      </c>
      <c r="I12" s="31">
        <f t="shared" si="1"/>
        <v>0</v>
      </c>
      <c r="J12" s="31">
        <f t="shared" si="1"/>
        <v>0</v>
      </c>
      <c r="K12" s="31">
        <f t="shared" si="1"/>
        <v>22903</v>
      </c>
      <c r="L12" s="31">
        <f t="shared" si="1"/>
        <v>0</v>
      </c>
      <c r="M12" s="31">
        <f t="shared" si="1"/>
        <v>0</v>
      </c>
      <c r="N12" s="31">
        <f t="shared" si="1"/>
        <v>13904</v>
      </c>
      <c r="O12" s="31">
        <f t="shared" si="1"/>
        <v>0</v>
      </c>
      <c r="P12" s="31">
        <f t="shared" si="1"/>
        <v>0</v>
      </c>
      <c r="Q12" s="27">
        <f t="shared" si="0"/>
        <v>53928</v>
      </c>
      <c r="R12" s="28"/>
    </row>
    <row r="13" ht="15.75">
      <c r="A13" s="415" t="s">
        <v>267</v>
      </c>
    </row>
    <row r="14" spans="1:16" ht="30">
      <c r="A14" s="33" t="s">
        <v>396</v>
      </c>
      <c r="B14" s="33" t="s">
        <v>258</v>
      </c>
      <c r="C14" s="33" t="s">
        <v>259</v>
      </c>
      <c r="D14" s="33" t="s">
        <v>260</v>
      </c>
      <c r="E14" s="33" t="s">
        <v>263</v>
      </c>
      <c r="F14" s="33" t="s">
        <v>261</v>
      </c>
      <c r="G14" s="33" t="s">
        <v>262</v>
      </c>
      <c r="H14" s="33" t="s">
        <v>264</v>
      </c>
      <c r="I14" s="33" t="s">
        <v>265</v>
      </c>
      <c r="J14" s="33" t="s">
        <v>453</v>
      </c>
      <c r="L14" s="42"/>
      <c r="M14" s="35"/>
      <c r="P14"/>
    </row>
    <row r="15" spans="1:16" ht="30">
      <c r="A15" s="33" t="s">
        <v>617</v>
      </c>
      <c r="B15" s="33"/>
      <c r="C15" s="33"/>
      <c r="D15" s="33"/>
      <c r="E15" s="33"/>
      <c r="F15" s="33"/>
      <c r="G15" s="33">
        <v>4837</v>
      </c>
      <c r="H15" s="33"/>
      <c r="I15" s="33"/>
      <c r="J15" s="33"/>
      <c r="L15" s="34"/>
      <c r="M15" s="35"/>
      <c r="P15"/>
    </row>
    <row r="16" spans="1:16" ht="45">
      <c r="A16" s="33" t="s">
        <v>616</v>
      </c>
      <c r="B16" s="378"/>
      <c r="C16" s="33"/>
      <c r="D16" s="33"/>
      <c r="E16" s="33"/>
      <c r="F16" s="33"/>
      <c r="G16" s="33"/>
      <c r="H16" s="33"/>
      <c r="I16" s="33"/>
      <c r="J16" s="33">
        <v>1728</v>
      </c>
      <c r="L16" s="34"/>
      <c r="M16" s="35"/>
      <c r="P16"/>
    </row>
    <row r="17" spans="1:16" ht="60" outlineLevel="1">
      <c r="A17" s="33" t="s">
        <v>618</v>
      </c>
      <c r="B17" s="24"/>
      <c r="C17" s="24">
        <v>10984</v>
      </c>
      <c r="D17" s="24"/>
      <c r="E17" s="24"/>
      <c r="F17" s="24"/>
      <c r="G17" s="24"/>
      <c r="H17" s="377"/>
      <c r="I17" s="24"/>
      <c r="J17" s="24"/>
      <c r="L17" s="32"/>
      <c r="M17" s="35"/>
      <c r="P17"/>
    </row>
    <row r="18" spans="1:16" ht="30" outlineLevel="1">
      <c r="A18" s="42" t="s">
        <v>667</v>
      </c>
      <c r="B18" s="24"/>
      <c r="C18" s="377"/>
      <c r="D18" s="24"/>
      <c r="E18" s="24"/>
      <c r="F18" s="24"/>
      <c r="G18" s="24"/>
      <c r="H18" s="24">
        <v>1050</v>
      </c>
      <c r="I18" s="24"/>
      <c r="J18" s="24"/>
      <c r="L18" s="394"/>
      <c r="M18" s="35"/>
      <c r="P18"/>
    </row>
    <row r="19" spans="1:16" ht="15" outlineLevel="1">
      <c r="A19" s="33" t="s">
        <v>619</v>
      </c>
      <c r="B19" s="24"/>
      <c r="C19" s="24">
        <v>2500</v>
      </c>
      <c r="D19" s="24">
        <v>1400</v>
      </c>
      <c r="E19" s="24">
        <v>949</v>
      </c>
      <c r="F19" s="24">
        <v>4155</v>
      </c>
      <c r="G19" s="24">
        <v>850</v>
      </c>
      <c r="H19" s="24"/>
      <c r="I19" s="24">
        <v>3000</v>
      </c>
      <c r="J19" s="24"/>
      <c r="L19" s="32"/>
      <c r="M19" s="35"/>
      <c r="P19"/>
    </row>
    <row r="20" spans="1:16" ht="15" outlineLevel="1">
      <c r="A20" s="33" t="s">
        <v>626</v>
      </c>
      <c r="B20" s="24"/>
      <c r="C20" s="377"/>
      <c r="D20" s="24">
        <v>50</v>
      </c>
      <c r="E20" s="24">
        <v>700</v>
      </c>
      <c r="F20" s="24">
        <v>100</v>
      </c>
      <c r="G20" s="24"/>
      <c r="H20" s="24"/>
      <c r="I20" s="24">
        <v>50</v>
      </c>
      <c r="J20" s="24"/>
      <c r="L20" s="32"/>
      <c r="M20" s="35"/>
      <c r="P20"/>
    </row>
    <row r="21" spans="1:16" ht="15" outlineLevel="1">
      <c r="A21" s="33" t="s">
        <v>642</v>
      </c>
      <c r="B21" s="24"/>
      <c r="C21" s="24"/>
      <c r="D21" s="24"/>
      <c r="E21" s="24"/>
      <c r="F21" s="24"/>
      <c r="G21" s="24"/>
      <c r="H21" s="24">
        <v>-4000</v>
      </c>
      <c r="I21" s="24"/>
      <c r="J21" s="24">
        <v>4000</v>
      </c>
      <c r="L21" s="32"/>
      <c r="M21" s="35"/>
      <c r="P21"/>
    </row>
    <row r="22" spans="1:16" ht="45" outlineLevel="1">
      <c r="A22" s="33" t="s">
        <v>663</v>
      </c>
      <c r="B22" s="24"/>
      <c r="C22" s="24"/>
      <c r="D22" s="24"/>
      <c r="E22" s="24"/>
      <c r="F22" s="24"/>
      <c r="G22" s="24"/>
      <c r="H22" s="24">
        <v>400</v>
      </c>
      <c r="I22" s="24"/>
      <c r="J22" s="388"/>
      <c r="L22" s="32"/>
      <c r="M22" s="35"/>
      <c r="P22"/>
    </row>
    <row r="23" spans="1:16" ht="15" outlineLevel="1">
      <c r="A23" s="33" t="s">
        <v>678</v>
      </c>
      <c r="B23" s="24"/>
      <c r="C23" s="24"/>
      <c r="D23" s="24"/>
      <c r="E23" s="24">
        <v>21175</v>
      </c>
      <c r="F23" s="24"/>
      <c r="G23" s="24"/>
      <c r="H23" s="24"/>
      <c r="I23" s="24"/>
      <c r="J23" s="388"/>
      <c r="L23" s="32"/>
      <c r="M23" s="35"/>
      <c r="P23"/>
    </row>
    <row r="24" spans="1:16" ht="30" outlineLevel="1">
      <c r="A24" s="33" t="s">
        <v>664</v>
      </c>
      <c r="B24" s="24"/>
      <c r="C24" s="24"/>
      <c r="D24" s="24">
        <v>-7</v>
      </c>
      <c r="E24" s="24"/>
      <c r="F24" s="24">
        <v>7</v>
      </c>
      <c r="G24" s="24"/>
      <c r="H24" s="24"/>
      <c r="I24" s="24"/>
      <c r="J24" s="388"/>
      <c r="L24" s="32"/>
      <c r="M24" s="35"/>
      <c r="P24"/>
    </row>
    <row r="25" spans="1:16" ht="15">
      <c r="A25" s="38" t="s">
        <v>257</v>
      </c>
      <c r="B25" s="37">
        <f>SUM(B15:B24)</f>
        <v>0</v>
      </c>
      <c r="C25" s="37">
        <f>SUM(C15:C24)</f>
        <v>13484</v>
      </c>
      <c r="D25" s="37">
        <f>SUM(D15:D24)</f>
        <v>1443</v>
      </c>
      <c r="E25" s="37">
        <f aca="true" t="shared" si="2" ref="E25:J25">SUM(E15:E24)</f>
        <v>22824</v>
      </c>
      <c r="F25" s="37">
        <f t="shared" si="2"/>
        <v>4262</v>
      </c>
      <c r="G25" s="37">
        <f t="shared" si="2"/>
        <v>5687</v>
      </c>
      <c r="H25" s="37">
        <f t="shared" si="2"/>
        <v>-2550</v>
      </c>
      <c r="I25" s="37">
        <f t="shared" si="2"/>
        <v>3050</v>
      </c>
      <c r="J25" s="37">
        <f t="shared" si="2"/>
        <v>5728</v>
      </c>
      <c r="L25" s="32"/>
      <c r="M25" s="35"/>
      <c r="P25"/>
    </row>
    <row r="26" ht="15">
      <c r="F26" s="48"/>
    </row>
    <row r="27" spans="1:13" ht="15">
      <c r="A27" s="42"/>
      <c r="G27" t="s">
        <v>400</v>
      </c>
      <c r="M27" s="39"/>
    </row>
    <row r="30" ht="12.75">
      <c r="N30" s="45"/>
    </row>
    <row r="31" ht="12.75">
      <c r="N31" s="45"/>
    </row>
    <row r="32" ht="12.75">
      <c r="N32" s="45"/>
    </row>
    <row r="33" ht="12.75">
      <c r="N33" s="45"/>
    </row>
    <row r="34" ht="12.75">
      <c r="N34" s="45"/>
    </row>
    <row r="35" ht="12.75">
      <c r="N35" s="45"/>
    </row>
    <row r="36" ht="12.75">
      <c r="N36" s="45"/>
    </row>
    <row r="37" ht="12.75">
      <c r="N37" s="45"/>
    </row>
  </sheetData>
  <sheetProtection/>
  <printOptions/>
  <pageMargins left="0" right="0" top="0.5905511811023623" bottom="0.5905511811023623" header="0.5118110236220472" footer="0.5118110236220472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3" sqref="B3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3"/>
  <sheetViews>
    <sheetView zoomScale="115" zoomScaleNormal="115" zoomScalePageLayoutView="0" workbookViewId="0" topLeftCell="A1">
      <selection activeCell="G15" activeCellId="4" sqref="A1 E13 E13 E13 G15"/>
    </sheetView>
  </sheetViews>
  <sheetFormatPr defaultColWidth="9.140625" defaultRowHeight="12.75"/>
  <sheetData>
    <row r="1" ht="12.75">
      <c r="A1" s="34"/>
    </row>
    <row r="13" ht="12.75">
      <c r="E13" s="3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Ogres novada 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Velberga</dc:creator>
  <cp:keywords/>
  <dc:description/>
  <cp:lastModifiedBy>Maija Ozola</cp:lastModifiedBy>
  <cp:lastPrinted>2016-09-05T15:58:19Z</cp:lastPrinted>
  <dcterms:created xsi:type="dcterms:W3CDTF">2006-04-20T10:34:24Z</dcterms:created>
  <dcterms:modified xsi:type="dcterms:W3CDTF">2016-09-27T13:54:30Z</dcterms:modified>
  <cp:category/>
  <cp:version/>
  <cp:contentType/>
  <cp:contentStatus/>
</cp:coreProperties>
</file>