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29" activeTab="0"/>
  </bookViews>
  <sheets>
    <sheet name="Pamatbudžets   " sheetId="1" r:id="rId1"/>
    <sheet name="Ņemamie kredīti" sheetId="2" r:id="rId2"/>
    <sheet name="Specbudžets" sheetId="3" r:id="rId3"/>
    <sheet name="Specb pa veidiem" sheetId="4" r:id="rId4"/>
    <sheet name="Ziedojumi un dāvinājumi" sheetId="5" r:id="rId5"/>
  </sheets>
  <externalReferences>
    <externalReference r:id="rId8"/>
  </externalReferences>
  <definedNames>
    <definedName name="_xlnm.Print_Titles" localSheetId="0">'Pamatbudžets   '!$7:$7</definedName>
  </definedNames>
  <calcPr fullCalcOnLoad="1"/>
</workbook>
</file>

<file path=xl/sharedStrings.xml><?xml version="1.0" encoding="utf-8"?>
<sst xmlns="http://schemas.openxmlformats.org/spreadsheetml/2006/main" count="928" uniqueCount="614">
  <si>
    <t>Ogres novada domes</t>
  </si>
  <si>
    <t>Kods</t>
  </si>
  <si>
    <t>4.1.1.0.</t>
  </si>
  <si>
    <t>4.1.2.0.</t>
  </si>
  <si>
    <t>5.4.1.0.</t>
  </si>
  <si>
    <t>Pašvaldību nodevas</t>
  </si>
  <si>
    <t>9.5.0.0.</t>
  </si>
  <si>
    <t>07.000</t>
  </si>
  <si>
    <t>10.000</t>
  </si>
  <si>
    <t>Izglītība</t>
  </si>
  <si>
    <t>04.000</t>
  </si>
  <si>
    <t>Kultūra</t>
  </si>
  <si>
    <t>08.000</t>
  </si>
  <si>
    <t>05.000</t>
  </si>
  <si>
    <t>06.000</t>
  </si>
  <si>
    <t>Pašvaldības policija</t>
  </si>
  <si>
    <t>Kopā izdevumi:</t>
  </si>
  <si>
    <t>S.Velberga</t>
  </si>
  <si>
    <t>21.3.0.0.</t>
  </si>
  <si>
    <t>Valsts kases kredīts</t>
  </si>
  <si>
    <t>Nodokļu ieņēmumi</t>
  </si>
  <si>
    <t>1.1.1.0.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</si>
  <si>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</si>
  <si>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</si>
  <si>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</si>
  <si>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</si>
  <si>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</si>
  <si>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</si>
  <si>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</si>
  <si>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</si>
  <si>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</si>
  <si>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13.0.0.0.</t>
  </si>
  <si>
    <t>18.0.0.0.</t>
  </si>
  <si>
    <t>19.0.0.0.</t>
  </si>
  <si>
    <t>Pašvaldību budžetu transferti</t>
  </si>
  <si>
    <t>19.2.0.0.</t>
  </si>
  <si>
    <t>21.0.0.0.</t>
  </si>
  <si>
    <t>Budžeta iestāžu ieņēmumi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</si>
  <si>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</si>
  <si>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</si>
  <si>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</si>
  <si>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</si>
  <si>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</si>
  <si>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kredītresursiem:</t>
  </si>
  <si>
    <t>Kopā ar budžeta atlikumu</t>
  </si>
  <si>
    <t>01.000</t>
  </si>
  <si>
    <t>Vispārējie valdības dienesti</t>
  </si>
  <si>
    <t>01.720</t>
  </si>
  <si>
    <t>Pašvaldību budžetu parāda darījumi</t>
  </si>
  <si>
    <t>01.721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</si>
  <si>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</si>
  <si>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</si>
  <si>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</si>
  <si>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</si>
  <si>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</si>
  <si>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</si>
  <si>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</si>
  <si>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</si>
  <si>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04.210</t>
  </si>
  <si>
    <t>04.510</t>
  </si>
  <si>
    <t>Autotransports</t>
  </si>
  <si>
    <t>04.600</t>
  </si>
  <si>
    <t>Sakari</t>
  </si>
  <si>
    <t>Vides aizsardzība</t>
  </si>
  <si>
    <t>05.100</t>
  </si>
  <si>
    <t>Atkritumu apsaimniekošana</t>
  </si>
  <si>
    <t>05.200</t>
  </si>
  <si>
    <t>Notekūdeņu apsaimniekošana</t>
  </si>
  <si>
    <t>Pašvaldības teritoriju un mājokļu apsaimniekošana</t>
  </si>
  <si>
    <t>06.300</t>
  </si>
  <si>
    <t>Ūdensapgāde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</si>
  <si>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</si>
  <si>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</si>
  <si>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</si>
  <si>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</si>
  <si>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</si>
  <si>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</si>
  <si>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</si>
  <si>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</si>
  <si>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</si>
  <si>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</si>
  <si>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</si>
  <si>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</si>
  <si>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08.290</t>
  </si>
  <si>
    <t>Televīzija</t>
  </si>
  <si>
    <t>09.000</t>
  </si>
  <si>
    <t>09.100</t>
  </si>
  <si>
    <t>PII  "Sprīdītis"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</si>
  <si>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</si>
  <si>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</si>
  <si>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</si>
  <si>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</si>
  <si>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</si>
  <si>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</si>
  <si>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</si>
  <si>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Ogres ģimnāzija</t>
  </si>
  <si>
    <t>Jaunogres vidusskola</t>
  </si>
  <si>
    <t>Ogresgala pamatskola</t>
  </si>
  <si>
    <t>09.510</t>
  </si>
  <si>
    <t>Interešu un profesionālās ievirzes izglītība</t>
  </si>
  <si>
    <t>Sporta centrs</t>
  </si>
  <si>
    <t>Mūzikas skola</t>
  </si>
  <si>
    <t>Mākslas skola</t>
  </si>
  <si>
    <t>Bērnu un jauniešu centrs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</si>
  <si>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</si>
  <si>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</si>
  <si>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</si>
  <si>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</si>
  <si>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</si>
  <si>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</si>
  <si>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</si>
  <si>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Izdevniecība ( Novada informatīvie izdevumi )</t>
  </si>
  <si>
    <t>04.220</t>
  </si>
  <si>
    <t>Mežsaimniecība un medniecība</t>
  </si>
  <si>
    <t>04.111</t>
  </si>
  <si>
    <t>Vispārējas ekonomiskas darbības vadība</t>
  </si>
  <si>
    <t xml:space="preserve">       Ceļu būvniecībai un remontiem</t>
  </si>
  <si>
    <t xml:space="preserve">       Pašvaldību budžetu valsts iekšējā parāda darījumi</t>
  </si>
  <si>
    <t xml:space="preserve">       Notekūdeņu (savākšana un attīrīšana)</t>
  </si>
  <si>
    <t>Pabalsts maznodrošinātām ģimenēm</t>
  </si>
  <si>
    <t>Valsts budžeta transferti</t>
  </si>
  <si>
    <t xml:space="preserve">    Muzeji un izstādes</t>
  </si>
  <si>
    <t xml:space="preserve">    Finansējums PA "Ogres kultūras centrs"</t>
  </si>
  <si>
    <t xml:space="preserve">    Pilsētas dekorēšana svētkiem</t>
  </si>
  <si>
    <t xml:space="preserve">    Pensionēto izglītības darbinieku pasāk.</t>
  </si>
  <si>
    <t xml:space="preserve">          Gaidu un skautu muzejs</t>
  </si>
  <si>
    <t>Ieņēmumi no pašvaldības īpašuma iznomāšanas, pārdošanas un nodokļu pamatp.kapitaliz.</t>
  </si>
  <si>
    <t>Pielikums Nr.2</t>
  </si>
  <si>
    <t>Pielikums Nr.1</t>
  </si>
  <si>
    <t xml:space="preserve">       Lietus ūdens kanalizācija </t>
  </si>
  <si>
    <t>PII " Strautiņš"</t>
  </si>
  <si>
    <t>Basketbola skola</t>
  </si>
  <si>
    <t xml:space="preserve">      Pārējie izdevumi</t>
  </si>
  <si>
    <t>Preces un pakalpojumi</t>
  </si>
  <si>
    <t>Pakalpojumi</t>
  </si>
  <si>
    <t>Krājumi,materiāli,energoresursi,prece,biroja preces un inventārs, ko neuzskaita  5000. kodā</t>
  </si>
  <si>
    <t>Budžeta iestāžu nodokļu maksājumi</t>
  </si>
  <si>
    <t>Procentu maksājumi iekšzemes kredītiestādēm</t>
  </si>
  <si>
    <t xml:space="preserve">Pārējie procentu maksājumi </t>
  </si>
  <si>
    <t>Nemateriālie ieguldījumi</t>
  </si>
  <si>
    <t>Pamatlīdzekļi</t>
  </si>
  <si>
    <t xml:space="preserve">Sociālie pabalsti naudā </t>
  </si>
  <si>
    <t xml:space="preserve"> IZDEVUMI KOPĀ</t>
  </si>
  <si>
    <t>Naudas sodi</t>
  </si>
  <si>
    <t xml:space="preserve">Pozīcijas nosaukums             </t>
  </si>
  <si>
    <t>Ieņēmumi no iedzīvotāju ienākuma nodokļa</t>
  </si>
  <si>
    <t>4.0.0.0.</t>
  </si>
  <si>
    <t>Īpašuma nodokļi</t>
  </si>
  <si>
    <t>19.1.0.0.</t>
  </si>
  <si>
    <t>Ieņēmumi no lauksaimnieciskās darbības</t>
  </si>
  <si>
    <t>21.3.7.0.</t>
  </si>
  <si>
    <t>Būvvalde</t>
  </si>
  <si>
    <t xml:space="preserve">      Īpašumu uzmērīšanai un reģistrēšanai Zemesgrāmatā</t>
  </si>
  <si>
    <t>PII "Taurenītis"</t>
  </si>
  <si>
    <t xml:space="preserve">Ķeipenes pamatskola </t>
  </si>
  <si>
    <t>Madlienas vidusskola</t>
  </si>
  <si>
    <t>09.219</t>
  </si>
  <si>
    <t>Suntažu vidusskola</t>
  </si>
  <si>
    <t>Suntažu sanatorijas internātpamatskola</t>
  </si>
  <si>
    <t>Madlienas mūzikas un mākslas skola</t>
  </si>
  <si>
    <t>09.600</t>
  </si>
  <si>
    <t>Izglītības papildu pakalpojumi</t>
  </si>
  <si>
    <t>Atbalsts bezdarba gadījumā</t>
  </si>
  <si>
    <t xml:space="preserve">Sabiedriskās organizācijas </t>
  </si>
  <si>
    <t>Bērnu nams "Laubere"</t>
  </si>
  <si>
    <t>Pansionāts "Madliena"</t>
  </si>
  <si>
    <t>F40 32 00 20</t>
  </si>
  <si>
    <t>Izdevumi periodikas iegādei</t>
  </si>
  <si>
    <t>Sociālie pabalsti natūrā</t>
  </si>
  <si>
    <t>21.3.5.0.</t>
  </si>
  <si>
    <t>Maksa par izglītības pakalpojumiem</t>
  </si>
  <si>
    <t>1.1.1.1.</t>
  </si>
  <si>
    <t>Saņemts no VK sadales konta  iepriekšējā gada nesadalītais iedzīvotāju ienākuma nodokļa atlikums</t>
  </si>
  <si>
    <t>1.1.1.2.</t>
  </si>
  <si>
    <t>Saņemts no VK sadales konta  pārskata gadā ieskaitītais iedzīvotāju ienākuma nodoklis</t>
  </si>
  <si>
    <t>8.6.0.0.</t>
  </si>
  <si>
    <t>Procentu ieņēmumi par depozītiem, kontu atlikumiem un vērtpapīriem</t>
  </si>
  <si>
    <t>10.1.0.0.</t>
  </si>
  <si>
    <t>19.3.0.0.</t>
  </si>
  <si>
    <t>21.1.0.0.</t>
  </si>
  <si>
    <t xml:space="preserve">Budžeta iestādes ieņēmumi no ārvalstu finanšu palīdzības </t>
  </si>
  <si>
    <t>F56010000</t>
  </si>
  <si>
    <t>Kapitālieguldījumu fondu akcijas</t>
  </si>
  <si>
    <t>Mājokļu attīstība pašvaldībā</t>
  </si>
  <si>
    <t xml:space="preserve">       Ģimenes ārstu prakse </t>
  </si>
  <si>
    <t xml:space="preserve">    Bibliotēkas </t>
  </si>
  <si>
    <t>PII "Riekstiņš"</t>
  </si>
  <si>
    <t>Projekts Skolēnu autobusi (Soc.droš.tīkls)</t>
  </si>
  <si>
    <t>Atbalsts ģimenēm ar bērniem (Bāriņtiesas)</t>
  </si>
  <si>
    <t>Zaudējumi no valūtas kursa svārstībām</t>
  </si>
  <si>
    <t>18.6.0.0.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</si>
  <si>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</si>
  <si>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</si>
  <si>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</si>
  <si>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Ieņēmumi no budžeta iestāžu sniegtajiem maksas pakalpojumiem un citi pašu ieņēmumi</t>
  </si>
  <si>
    <t>Atalgojums</t>
  </si>
  <si>
    <t>Mācību, darba un dienesta komandējumi, dienesta, darba braucieni</t>
  </si>
  <si>
    <t>Darba devēja valsts sociālās apdrošināšanas obligātās iemaksas, sociālā rakstura pabalsti un kompensācijas</t>
  </si>
  <si>
    <t>Subsīdijas un dotācijas komersantiem, biedrībām un nodibinājumiem</t>
  </si>
  <si>
    <t>Pašvaldību  uzturēšanas izdevumu transferti padotības iestādēm</t>
  </si>
  <si>
    <t>Pašvaldību uzturēšanas izdevumu transferti</t>
  </si>
  <si>
    <t>03.110</t>
  </si>
  <si>
    <t xml:space="preserve">Izpildvaras un likumdošanas varas  institūcijas </t>
  </si>
  <si>
    <t>01.820</t>
  </si>
  <si>
    <t>Vispārēja rakstura transferti no pašvaldību budžeta valsts budžetam</t>
  </si>
  <si>
    <t xml:space="preserve">Izdevumi neparedzētiem gadījumiem </t>
  </si>
  <si>
    <t>Pārējie sabiedriskās kārtības un drošības pakalpojumi (Video novērošanai Ogrē)</t>
  </si>
  <si>
    <t>04.11101</t>
  </si>
  <si>
    <t>Uzņēmējdarbības  attīstības veicināšanai</t>
  </si>
  <si>
    <t xml:space="preserve">Lauksaimniecība </t>
  </si>
  <si>
    <t>04.51004</t>
  </si>
  <si>
    <t>04.6001</t>
  </si>
  <si>
    <t>05.1001</t>
  </si>
  <si>
    <t>05.2001</t>
  </si>
  <si>
    <t>05.2002</t>
  </si>
  <si>
    <t>05.400</t>
  </si>
  <si>
    <t>Bioloģiskās daudzveidības un ainavas aizsardzība</t>
  </si>
  <si>
    <t>05.300</t>
  </si>
  <si>
    <t>Vides piesārņojuma novēršana un samazināšana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</si>
  <si>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</si>
  <si>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</si>
  <si>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</si>
  <si>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</si>
  <si>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</si>
  <si>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</si>
  <si>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</si>
  <si>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</si>
  <si>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</si>
  <si>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</si>
  <si>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08.2201</t>
  </si>
  <si>
    <t>08.2202</t>
  </si>
  <si>
    <t>Pārējā citur neklasificētā kultūra</t>
  </si>
  <si>
    <t>08.29001</t>
  </si>
  <si>
    <t>08.29002</t>
  </si>
  <si>
    <t>08.29003</t>
  </si>
  <si>
    <t>09.10001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</si>
  <si>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</si>
  <si>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</si>
  <si>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</si>
  <si>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</si>
  <si>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</si>
  <si>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</si>
  <si>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</si>
  <si>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</si>
  <si>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</si>
  <si>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</si>
  <si>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</si>
  <si>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</si>
  <si>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</si>
  <si>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09.21903</t>
  </si>
  <si>
    <t>09.21904</t>
  </si>
  <si>
    <t>09.21905</t>
  </si>
  <si>
    <t>09.21906</t>
  </si>
  <si>
    <t>09.21907</t>
  </si>
  <si>
    <t>09.21908</t>
  </si>
  <si>
    <t>09.21910</t>
  </si>
  <si>
    <t>09.5101</t>
  </si>
  <si>
    <t>09.5102</t>
  </si>
  <si>
    <t>09.5103</t>
  </si>
  <si>
    <t>09.5104</t>
  </si>
  <si>
    <t>09.5105</t>
  </si>
  <si>
    <t>09.5106</t>
  </si>
  <si>
    <t>Pārējā citur neklasificētā izglītība (izglītības projektu realizācija)</t>
  </si>
  <si>
    <t>09.82007</t>
  </si>
  <si>
    <t>09.82008</t>
  </si>
  <si>
    <t>10.70001</t>
  </si>
  <si>
    <t>10.70002</t>
  </si>
  <si>
    <t>10.70004</t>
  </si>
  <si>
    <t>10.70005</t>
  </si>
  <si>
    <t>10.70006</t>
  </si>
  <si>
    <t>10.70010</t>
  </si>
  <si>
    <t>08.230</t>
  </si>
  <si>
    <t>01.830    7230</t>
  </si>
  <si>
    <t>Teritoriju attīstība ( projektēšanai )</t>
  </si>
  <si>
    <t xml:space="preserve">Pirmsskolas izglītība </t>
  </si>
  <si>
    <t>Pārējie maksājumi iedzīvotājiem natūrā un kompensācijas</t>
  </si>
  <si>
    <t>Pārējais autotransports</t>
  </si>
  <si>
    <t xml:space="preserve">      Saimniecības nodaļa</t>
  </si>
  <si>
    <t>01.100</t>
  </si>
  <si>
    <t>4.1.3.0.</t>
  </si>
  <si>
    <t>Nekustamā īpašuma nodoklis par mājokļiem</t>
  </si>
  <si>
    <t>06.100</t>
  </si>
  <si>
    <t xml:space="preserve">          Vēstures un mākslas muzejs</t>
  </si>
  <si>
    <t>08.29009</t>
  </si>
  <si>
    <t>Pakalpojumi, kurus budžeta iestādes apmaksā noteikto funkciju ietvaros, kas nav iestādes administratīvie izdevumi</t>
  </si>
  <si>
    <t>17.2.0.0.</t>
  </si>
  <si>
    <t>Pašvaldību saņemtie transferti no valsts budžeta daļēji finansētām atvasinātām publiskām personām un no budžeta nefinansētām iestādēm</t>
  </si>
  <si>
    <t>03.200</t>
  </si>
  <si>
    <t>Ugunsdrošības, glābšanas un civilās drošības dienesti</t>
  </si>
  <si>
    <t>04.51006</t>
  </si>
  <si>
    <t>Publisko interneta pieejas punktu attīstība</t>
  </si>
  <si>
    <t>Projekts Ķeipenes estrādes būvniecība</t>
  </si>
  <si>
    <t>Taurupes pamatskola</t>
  </si>
  <si>
    <t>F22010020</t>
  </si>
  <si>
    <t>Pieprasījuma noguldījuma izņemšana</t>
  </si>
  <si>
    <t>Budžeta nodaļas vadītāja</t>
  </si>
  <si>
    <t>F20010000 AS</t>
  </si>
  <si>
    <t>F20010000 AB</t>
  </si>
  <si>
    <t>21.4.9.0</t>
  </si>
  <si>
    <t>Pārējie iepriekš neklasificētie pašu ieņēmumi</t>
  </si>
  <si>
    <t>04.11115</t>
  </si>
  <si>
    <t>04.2101</t>
  </si>
  <si>
    <t>04.2103</t>
  </si>
  <si>
    <t>04.51007</t>
  </si>
  <si>
    <t xml:space="preserve">     Grants ceļu bez cietā seguma posmu pārbūve Ogres novadā</t>
  </si>
  <si>
    <t>05.1007</t>
  </si>
  <si>
    <t xml:space="preserve">      Koncesija atkritumu apsaimniekošana</t>
  </si>
  <si>
    <t>05.30010</t>
  </si>
  <si>
    <t>05.30011</t>
  </si>
  <si>
    <t>06.1001</t>
  </si>
  <si>
    <t>06.60011</t>
  </si>
  <si>
    <t>06.60014</t>
  </si>
  <si>
    <t xml:space="preserve">      Represēto piemiņas vietas labiekārtošana</t>
  </si>
  <si>
    <t>08.1004</t>
  </si>
  <si>
    <t xml:space="preserve">       Struktūrvienība peldbaseins  "Neptūns"</t>
  </si>
  <si>
    <t>08.2203</t>
  </si>
  <si>
    <t>08.29011</t>
  </si>
  <si>
    <t>09.82025</t>
  </si>
  <si>
    <t>09.82026</t>
  </si>
  <si>
    <t>09.82028</t>
  </si>
  <si>
    <t xml:space="preserve">       Nordplus programma - Ogres Mūzikas skolas projekts "Innovative Bridge of Music"</t>
  </si>
  <si>
    <t>09.82030</t>
  </si>
  <si>
    <t xml:space="preserve">      8.1.2.SAM "Uzlabot vispārējās izglītības iestāžu mācību vidi Ogres novadā"</t>
  </si>
  <si>
    <t>10.70015</t>
  </si>
  <si>
    <t>Kredīta atmaksa        F40322220</t>
  </si>
  <si>
    <t>Līdzekļu atlikums uz gada beigām (Kases apgrozāmie līdzekļi)  F22010020</t>
  </si>
  <si>
    <t>Kompensācijas, kuras izmaksā personām, pamatojoties uz Latvijas tiesu nolēmumiem</t>
  </si>
  <si>
    <t xml:space="preserve">     Ēkas Parka ielā 1, Ogrē siltināšana un rekonstrukcija, pielāgojot pirmsskolas izglītības iestādes vajadzībām</t>
  </si>
  <si>
    <t xml:space="preserve">    Ēkas Upes prospektā 16, Ogrē  siltināšana un rekonstrukcija, pielāgojot Ogres novada Sociālā dienesta un tā struktūrvienību vajadzībām</t>
  </si>
  <si>
    <t xml:space="preserve">     Projekts Skolēnu autobusi (Šveice)</t>
  </si>
  <si>
    <t xml:space="preserve">Pašvaldības un tās iestāžu savstarpējie transferti </t>
  </si>
  <si>
    <t>Kapitālo izdevumu transferti</t>
  </si>
  <si>
    <t xml:space="preserve">       Norēķini ar citu pašvaldību sociālo pakalpojumu iestādēm</t>
  </si>
  <si>
    <t>06.60017</t>
  </si>
  <si>
    <t>Reliģisko organizāciju un citu biedrību un nodibinājumu pakalpojumi</t>
  </si>
  <si>
    <t>10.70003</t>
  </si>
  <si>
    <t>Sociālā dienesta asistentu pakalpojumi</t>
  </si>
  <si>
    <t>09.82032</t>
  </si>
  <si>
    <t>09.82033</t>
  </si>
  <si>
    <t>9.9.2.0</t>
  </si>
  <si>
    <t>06.60019</t>
  </si>
  <si>
    <t>04.11114</t>
  </si>
  <si>
    <t>05.30012</t>
  </si>
  <si>
    <t>06.60018</t>
  </si>
  <si>
    <t>08.29005</t>
  </si>
  <si>
    <t>08.29006</t>
  </si>
  <si>
    <t>04.51008</t>
  </si>
  <si>
    <t>08.2302</t>
  </si>
  <si>
    <t>Kultūras centra kāpņu ansambļa pārbūve</t>
  </si>
  <si>
    <t>Ogres pilsētas vēsturiskā centra kultūras telpas revitalizācija, veicinot latvisko dzīvesziņu (Brīvības ielas skvēra pārbūve pie Zelta Liepas)</t>
  </si>
  <si>
    <t>Pārējā izglītības vadība (Izglītības, kultūras un sporta pārvalde)</t>
  </si>
  <si>
    <t>07.4501</t>
  </si>
  <si>
    <t>08.2301</t>
  </si>
  <si>
    <t xml:space="preserve">    Kultūras aktivitātes / pasākumi</t>
  </si>
  <si>
    <t>01.600</t>
  </si>
  <si>
    <t>Pārējie iepriekš neklasificētie vispārējie valdības dienesti</t>
  </si>
  <si>
    <t>Pārējās nodevas</t>
  </si>
  <si>
    <t>01.83011</t>
  </si>
  <si>
    <t>01.83012</t>
  </si>
  <si>
    <t>01.83013</t>
  </si>
  <si>
    <t xml:space="preserve">     Finansējums Ogres un Ikšķiles PA "Tūrisma, sporta un atpūtas kompleksa "Zilie kalni"attīstības aģentūra"</t>
  </si>
  <si>
    <t>03.2001</t>
  </si>
  <si>
    <t>Civilās daizsardzības pasākumi</t>
  </si>
  <si>
    <t>04.11102</t>
  </si>
  <si>
    <t>04.11103</t>
  </si>
  <si>
    <t>Informatīvi pasākumi uzņēmējiem</t>
  </si>
  <si>
    <t>SAM 5,6,2, Degradētās teritorijas Pārogres industriālajā parkā revitalizācija</t>
  </si>
  <si>
    <t xml:space="preserve">SAM 3.3.1. "Infrastruktūras attīstība, veicinot uzņēmējdarbības attīstību Kartonfabrikas rajonā, rekonstruējot Brīvības ielas posmu Ogrē </t>
  </si>
  <si>
    <t xml:space="preserve">   Vispārējie lauksaimniecības izdevumi</t>
  </si>
  <si>
    <t xml:space="preserve">   Novērst plūdu un krasta erozijas risku apdraudējumu Ogres pilsētas teritorijā, veicot vecā aizsargdambja pārbūvi un jauna aizsargmola (straumvirzes) būvniecību pie Ogres upes ietekas Daugavā</t>
  </si>
  <si>
    <t>04.4301</t>
  </si>
  <si>
    <t xml:space="preserve">     Ogres upes promenādes otrā kārta. Krasta ielas lejas promenādes pārbūve</t>
  </si>
  <si>
    <t xml:space="preserve">      Ielu tīrīšanai, atkritumu savākšanai,teritoriju labiekārtošanai</t>
  </si>
  <si>
    <t>05.30001</t>
  </si>
  <si>
    <t>Energoauditi, atzinumi</t>
  </si>
  <si>
    <t xml:space="preserve">  Siltumnīcefekta gāzu emisiju samazināšana Ogres 1.vidusskolā</t>
  </si>
  <si>
    <t>05.4001</t>
  </si>
  <si>
    <t xml:space="preserve">   Bioloģiskās daudzveidības un ainavas aizsardzība</t>
  </si>
  <si>
    <t xml:space="preserve">Mājokļu attīstība </t>
  </si>
  <si>
    <t>06.2001</t>
  </si>
  <si>
    <t xml:space="preserve">       Mājokļu apsaimniekošana</t>
  </si>
  <si>
    <t xml:space="preserve">       Siltumapgāde</t>
  </si>
  <si>
    <t xml:space="preserve">       Kapu saimniecība</t>
  </si>
  <si>
    <t>06.60004</t>
  </si>
  <si>
    <t xml:space="preserve">      Pašvaldības teritoriju labiekārtošana</t>
  </si>
  <si>
    <t xml:space="preserve">       Projektu konkurss "Veidojam vidi ap mums Ogres novadā"</t>
  </si>
  <si>
    <t xml:space="preserve">      Nevalstisko organizāciju projektu atbalstam</t>
  </si>
  <si>
    <t xml:space="preserve">      Vides pieejamības nodrošināšana Ogres pilsētas pazemes pārejā zem sliežu ceļa</t>
  </si>
  <si>
    <t>06.60012</t>
  </si>
  <si>
    <t xml:space="preserve">      Latvijas vides un dabas vērtību cildināšana godinot Latvijas valsts pastāvēšanas simtgadi</t>
  </si>
  <si>
    <t xml:space="preserve">      Dabas un izziņu parka "Latvijas pagastu ozolu birzs" izveide Madlienā.</t>
  </si>
  <si>
    <t xml:space="preserve">      Skatu torņa un tam piegulošās infrastruktūras būvniecība NARURA 2000 teritorijā  dabas parkā "Ogres ieleja", aizsargājot un izglītojot sabiedrību par tajā esošajiem aizsargājamiem biotopiem, floru un faunu, kā arī teritorijas kultūrvēsturi</t>
  </si>
  <si>
    <t>06.60020</t>
  </si>
  <si>
    <t xml:space="preserve">      Līčkalniņa kapu kapličas būvniecība</t>
  </si>
  <si>
    <t>06.60021</t>
  </si>
  <si>
    <t xml:space="preserve">     LAD proj. Krapes ev.luteriskās baznīcas torņa atjaunošana </t>
  </si>
  <si>
    <t>07.2101</t>
  </si>
  <si>
    <t xml:space="preserve">      SAM 9.2.4.2. Pasākumi vietējās sabiedrības slimību profilaksei un veselības veicināšanai</t>
  </si>
  <si>
    <t>08.2101</t>
  </si>
  <si>
    <t xml:space="preserve">    Kultūras centri, nami, klubi</t>
  </si>
  <si>
    <t xml:space="preserve">    Kultūras centri - tautas nami</t>
  </si>
  <si>
    <t>08.2304</t>
  </si>
  <si>
    <t xml:space="preserve">    Taurupes brīvdabas estrādes projekts (Zied zeme, LAD)</t>
  </si>
  <si>
    <t>08.29007</t>
  </si>
  <si>
    <t xml:space="preserve">    Papildus aktivitātes  Ogres novada pašvaldības iestādēs (vasaras nometnes)</t>
  </si>
  <si>
    <t>08.29008</t>
  </si>
  <si>
    <t xml:space="preserve">    Kultūras mantojuma saglabāšana un attīstība Daugavas ceļā</t>
  </si>
  <si>
    <t xml:space="preserve">       Projektu konkurss "R.A.D.I. Ogres novadam" (Kultūras, sporta un izglītības pasākumi, mācības, kursi)</t>
  </si>
  <si>
    <t>08.29013</t>
  </si>
  <si>
    <t>Sajūtu un brīvā laika pavadīšanas dārzs "Raiņa un Aspazijas saulainais stūrītis" (LAD)</t>
  </si>
  <si>
    <t>08.29017</t>
  </si>
  <si>
    <t xml:space="preserve">"Gaisma Ciemupes Tautas namā" (LAD) </t>
  </si>
  <si>
    <t>08.300</t>
  </si>
  <si>
    <t>Apraides un izdevniecības pakalpojumi</t>
  </si>
  <si>
    <t>Finansējums bērniem, kuri apmeklē privātās pirmsskolas izglītības iestādes</t>
  </si>
  <si>
    <t>09.10011</t>
  </si>
  <si>
    <t>09.60010</t>
  </si>
  <si>
    <t>Ēdināšanas izmaksu kompensācijas</t>
  </si>
  <si>
    <t>09.60020</t>
  </si>
  <si>
    <t>Skolnieku pārvadājumi</t>
  </si>
  <si>
    <t>09.8101</t>
  </si>
  <si>
    <t>09.82001</t>
  </si>
  <si>
    <t>Karjeras atbalsts vispārējās un profesionālās izglītības iestādēs</t>
  </si>
  <si>
    <t>09.82021</t>
  </si>
  <si>
    <t>Ģimnāzijas projekts "Fiziskās audzināšanas loma skolēnu veselības stiprināšanā"</t>
  </si>
  <si>
    <t xml:space="preserve">        Ģimnāzijas projekts ERASMUS programmas pamatdarbības Nr.2 (KA 2),stratēģisko skolu sadarbības partnerību projekts (VĀCIJA)</t>
  </si>
  <si>
    <t xml:space="preserve">       Ģimnāzijas projekts ERASMUS programmas pamatdarbības Nr. 2 (KA 2) stratēģisko skolu sadarbības partnerību projekts (ČEHIJA)</t>
  </si>
  <si>
    <t>Pārējās izglītības iestāžu pedagogu profesionālās kompetences  pilnveide (Ģimnāzija)</t>
  </si>
  <si>
    <t xml:space="preserve">  Ģimnāzijas projekts ERASMUS programmas stratēģisko skolu sadarbības partnerību projekts (ITĀLIJA) 2016-1-IT02-KA219-024226-3</t>
  </si>
  <si>
    <t>09.82034</t>
  </si>
  <si>
    <t>Projekts "Jaunatnes politikas attīstība Ogres novadā"</t>
  </si>
  <si>
    <t>09.82035</t>
  </si>
  <si>
    <t>Ogres 1. vidusskolas ERASMUS programmas 1. pamatdarbības mobilitātes projekts "Jauna mācību pieredze skolēniem un skolotājiem"</t>
  </si>
  <si>
    <t>09.82036</t>
  </si>
  <si>
    <t>"Ogresgala pamatskolas sporta zāles atjaunošana un modernizēšana Ogres novada iedzīvotāju sportisko aktivitāšu dažādošanai" (LAD)</t>
  </si>
  <si>
    <t>09.82037</t>
  </si>
  <si>
    <t>Ogres 1. vidusskolas ERASMUS programmas 2. pamatdarbības starpskolu stratēģisko partnerību projekts "21. gadsimta globalizācijas un ilgtspējības izaicinājumi"</t>
  </si>
  <si>
    <t>09.82038</t>
  </si>
  <si>
    <t>Ģimnāzijas ERASMUS programmas 2. pamatdarbības starpskolu stratēģisko partnerību projekts "Rītdienas mācīšana"</t>
  </si>
  <si>
    <t>09.82039</t>
  </si>
  <si>
    <t>Atbalsts izglītojamo individuālo kompetenču attīstībai</t>
  </si>
  <si>
    <t>09.82041</t>
  </si>
  <si>
    <t>Sākumskolas ERASMUS programmas 2. pamatdarbības starpskolu stratēģisko partnerību projekts "Kam ir bail no matemātikas"</t>
  </si>
  <si>
    <t>Jauniešu garantijas ietvaros projekta "PROTI un DARI!" īstenošana</t>
  </si>
  <si>
    <t xml:space="preserve"> ES projekts "Deinstitucionalizācija un sociālie pakalpojumi personām ar invaliditāti un bērniem"</t>
  </si>
  <si>
    <t>Starptautiskā sadarbība</t>
  </si>
  <si>
    <t xml:space="preserve">Ogres un Ogresgala 2018.g. budžets </t>
  </si>
  <si>
    <t>Pašvald. aģentūras "Ogres namsaim- nieks" 2018.g. budžets</t>
  </si>
  <si>
    <t>Pašvald. aģentūras "Kultūras centrs" 2018.g. budžets</t>
  </si>
  <si>
    <t>Pašvald. aģentūras "Rosme" 2018.g. budžets</t>
  </si>
  <si>
    <t>Suntažu pagasta pārvaldes 2018.g. budžets</t>
  </si>
  <si>
    <t>Lauberes pagasta pārvaldes 2018.g. budžets</t>
  </si>
  <si>
    <t>Ķeipenes pagasta pārvaldes 2018.g. budžets</t>
  </si>
  <si>
    <t>Madlienas pagasta pārvaldes 2018.g. budžets</t>
  </si>
  <si>
    <t>Krapes pagasta pārvaldes 2018.g. budžets</t>
  </si>
  <si>
    <t>Mazozolu pagasta pārvaldes 2018.g. budžets</t>
  </si>
  <si>
    <t>Meņģeles pagasta pārvaldes 2018.g. budžets</t>
  </si>
  <si>
    <t>Taurupes pagasta pārvaldes 2018.g. budžets</t>
  </si>
  <si>
    <t>Ogres novada pašvaldības 2018.g. budžets</t>
  </si>
  <si>
    <t>Meņģeles pagasta pārvaldes 20178.g. budžets</t>
  </si>
  <si>
    <t>Budžeta  atl.uz  01. 01. 2018.g.        F22010010</t>
  </si>
  <si>
    <t>08.2303</t>
  </si>
  <si>
    <t>Komunikāciju centrs Ķeipenē</t>
  </si>
  <si>
    <t>08.2204</t>
  </si>
  <si>
    <t>Sudrabu Edžus memoriālā istaba</t>
  </si>
  <si>
    <t>08.29004</t>
  </si>
  <si>
    <t xml:space="preserve">    Dalībai dziesmu un deju svētkos</t>
  </si>
  <si>
    <t>SIA MS siltums  pamatkapitāla palielināšanai</t>
  </si>
  <si>
    <t>F55 01 00 13</t>
  </si>
  <si>
    <t>21.3.4.0.</t>
  </si>
  <si>
    <t>F40 02 00 10</t>
  </si>
  <si>
    <t>Ogres novada 2017. g.  izpilde</t>
  </si>
  <si>
    <t>Ogres novada 2017. g. izpilde</t>
  </si>
  <si>
    <t>04.510010</t>
  </si>
  <si>
    <t>06.4001</t>
  </si>
  <si>
    <t>08.29019</t>
  </si>
  <si>
    <t>Lejasdaugavas novadu iedzīvotāju iesaiste velo un ūdenstūrisma maršrutu par godu Latvijas simtgadei izstrādē, kā arī vides izglītošanā</t>
  </si>
  <si>
    <t>08.29018</t>
  </si>
  <si>
    <t>08.3101</t>
  </si>
  <si>
    <t>08.3301</t>
  </si>
  <si>
    <t>08.4001</t>
  </si>
  <si>
    <t>09.82042</t>
  </si>
  <si>
    <t>Erasmus programmas projekts Digitālās kompetences darba tirgū jauniešiem</t>
  </si>
  <si>
    <t>10.4001</t>
  </si>
  <si>
    <t>10.5001</t>
  </si>
  <si>
    <t>10.70016</t>
  </si>
  <si>
    <t>ERAF "Pakalpojumu infrastruktūras attīstība deinstitualizācijas plānu īstenošanai"</t>
  </si>
  <si>
    <t>04.11116</t>
  </si>
  <si>
    <t>Ogres novadnieka karte</t>
  </si>
  <si>
    <t>Jāņa Čakstes prospekta rekonstrukcija</t>
  </si>
  <si>
    <t>Rūpnieku ielas pārbūve</t>
  </si>
  <si>
    <t>Autostāvvietas projektēšana, būvniecība un būvuzraudzība pie PII Parka 1, Ogrē</t>
  </si>
  <si>
    <t>Mazozolu ceļa 7206 Pērles - Lāči posma remonts</t>
  </si>
  <si>
    <t>04.51009</t>
  </si>
  <si>
    <t xml:space="preserve"> Gājēju tunelis zem dzelzceļa sliežu ceļiem un Autotransporta tunelis zem dzelzceļa sliežu ceļiem </t>
  </si>
  <si>
    <t>03.6002</t>
  </si>
  <si>
    <t>Atskurbtuves pakalpojumiem</t>
  </si>
  <si>
    <t>Projektu pieteikumu, tehniskās dokumentācijas, topogrāfiju izstrāde un vides ekspertīzes, energoaudits</t>
  </si>
  <si>
    <t>8.3.0.0.</t>
  </si>
  <si>
    <t>Īeņēmumi no dividendēm</t>
  </si>
  <si>
    <t xml:space="preserve">     Daugavpils šosejas (A6) atjaunošana sadarbībā ar Latvijas valsts ceļiem</t>
  </si>
  <si>
    <t xml:space="preserve">         Kultūrvēsturiskā pieminekļa "Pie Zelta Liepas" rekonstrukcija</t>
  </si>
  <si>
    <t>Ķeipenes dzelzceļa stacijas ēkas atjaunošana(LAD)</t>
  </si>
  <si>
    <t>Ogres novada pašvaldības 2018. gada pamatbudžeta  izdevumi atbilstoši ekonomiskajām kategorijām.</t>
  </si>
  <si>
    <t>Ogres novada pašvaldības 2018. gada pamatbudžeta ieņēmumi.</t>
  </si>
  <si>
    <t>Ogres novada pašvaldības 2018. gada pamatbudžeta  izdevumi atbilstoši funkcionālajām kategorijām.</t>
  </si>
  <si>
    <t>12.0.0.0.</t>
  </si>
  <si>
    <t>Procentu Ieņēmumi par  maksas pakalpojumiem</t>
  </si>
  <si>
    <t>08.29020</t>
  </si>
  <si>
    <t>Projekts Viļņu mājas atjaunošana Ķeipenē</t>
  </si>
  <si>
    <t>08.2305</t>
  </si>
  <si>
    <t>Teātra telpu izbūve Ogres kultūras centrā</t>
  </si>
  <si>
    <t>04.51011</t>
  </si>
  <si>
    <t>04.51012</t>
  </si>
  <si>
    <t>04.51013</t>
  </si>
  <si>
    <t>04.51014</t>
  </si>
  <si>
    <t>18.01.2018. Saistošajiem noteikumiem Nr.1/2018</t>
  </si>
  <si>
    <t>Pielikums Nr.4</t>
  </si>
  <si>
    <t>Ogres novada pašvaldības</t>
  </si>
  <si>
    <t>Ogres novada pašvaldības 2018.gada speciālā budžeta ieņēmumi.</t>
  </si>
  <si>
    <t xml:space="preserve">   Ieņēmuma pozīcijas nosaukums             </t>
  </si>
  <si>
    <t>5.5.3.0.</t>
  </si>
  <si>
    <t>Dabas resursu nodoklis</t>
  </si>
  <si>
    <t>8.9.0.0.</t>
  </si>
  <si>
    <t xml:space="preserve">Pārējie finanšu ieņēmumi </t>
  </si>
  <si>
    <t>12.3.9.0.</t>
  </si>
  <si>
    <t>Citi dažādi nenodokļu ieņēmumi</t>
  </si>
  <si>
    <t xml:space="preserve">18.6.2.0. </t>
  </si>
  <si>
    <t>Pašvaldību saņemtie valsts budžeta transferti noteiktam mērķim</t>
  </si>
  <si>
    <t>Procentu ieņēmumi par maksas pakalpojumu un citu pašu ieņēmumu ieguldījumiem depozītā vai kontu atlikumiem</t>
  </si>
  <si>
    <t xml:space="preserve">F20010000 </t>
  </si>
  <si>
    <t>Budžeta  atl.uz  01. 01. 2018.g.</t>
  </si>
  <si>
    <t>Ogres novada pašvaldības 2018. gada speciālā budžeta  izdevumi atbilstoši funkcionālajām kategorijām.</t>
  </si>
  <si>
    <t xml:space="preserve">   Izdevumu pozīcijas nosaukums             </t>
  </si>
  <si>
    <t>04.200</t>
  </si>
  <si>
    <t>Lauksaimn.,mežsaimn.un zivsaimniecība</t>
  </si>
  <si>
    <t>04.500</t>
  </si>
  <si>
    <t>Transports</t>
  </si>
  <si>
    <t>04.900</t>
  </si>
  <si>
    <t>Pārējā ekonomiskā darbība</t>
  </si>
  <si>
    <t>06.400</t>
  </si>
  <si>
    <t>F40 02 00 20</t>
  </si>
  <si>
    <t>Kredīta atmaksa</t>
  </si>
  <si>
    <t>F20010000</t>
  </si>
  <si>
    <t>Atlikums gada beigās</t>
  </si>
  <si>
    <t>Ogres novada pašvaldības 2018. gada budžeta  izdevumi atbilstoši ekonomiskajām kategorijām.</t>
  </si>
  <si>
    <t>Darba samaksa</t>
  </si>
  <si>
    <t>Darba devēja valsts sociālās apdrošināšanas obligātās iemaksas, sociālā rakstura pabalsti un kompensācija</t>
  </si>
  <si>
    <t>Subsīdijas komersantiem, sabiedriskajām org. un citām institūcijām</t>
  </si>
  <si>
    <t>Pašvaldību budžeta uzturēšanas izdevumu transferti</t>
  </si>
  <si>
    <t>Ogres novada Ogres un Ogresgala pagasta pārvaldes</t>
  </si>
  <si>
    <t>2018.gada speciālo budžetu kopsavilkums</t>
  </si>
  <si>
    <t>Budžeta nosaukumi</t>
  </si>
  <si>
    <t>Autoceļu (ielu) fonds</t>
  </si>
  <si>
    <t>Pārējie ieņēmumi</t>
  </si>
  <si>
    <t>Kopā           (EUR)</t>
  </si>
  <si>
    <t>2018.gada ieņēmumi</t>
  </si>
  <si>
    <t>Atlikums uz 01.01.2018.</t>
  </si>
  <si>
    <t>Pavisam ieņēmumi 2018.g.</t>
  </si>
  <si>
    <t>Izdevumi 2018.g.</t>
  </si>
  <si>
    <t>tai sk. Atalgojums (1100)</t>
  </si>
  <si>
    <t>Soc.nod.(1200)</t>
  </si>
  <si>
    <t>Atlikums uz 01.01.2019.g.</t>
  </si>
  <si>
    <t>S. Velberga</t>
  </si>
  <si>
    <t>PA Ogres namsaimnieks</t>
  </si>
  <si>
    <t>Kopā EUR</t>
  </si>
  <si>
    <t>PA Ogres namsaimnieks direktors:                                            K.Grīnbergs</t>
  </si>
  <si>
    <t>Ogres novada Suntažu pagasta pārvaldes</t>
  </si>
  <si>
    <t>Ogres novada Suntažu pagasta pārvaldes vadītājs:                          V.Ancāns</t>
  </si>
  <si>
    <t>Ogres novada Madlienas pagasta pārvaldes</t>
  </si>
  <si>
    <t>Ogres novada Madlienas pagasta pārvaldes vadītājs:                                  O.Atslēdziņš</t>
  </si>
  <si>
    <t>Ogres novada Meņģeles pagasta pārvaldes</t>
  </si>
  <si>
    <t>Ogres novada Meņģeles pagasta pārvaldes vadītājs:                              I.Jermacāne</t>
  </si>
  <si>
    <t>Ogres novada Ķeipenes pagasta pārvaldes</t>
  </si>
  <si>
    <t>Ogres novada Ķeipenes pagasta pārvaldes vadītājs:                            V.Sirsonis</t>
  </si>
  <si>
    <t>Ogres novada Taurupes pagasta pārvaldes</t>
  </si>
  <si>
    <t>Ogres novada Taurupes pagasta pārvaldes vadītājs:                               J.Stafeckis</t>
  </si>
  <si>
    <t>Ogres novada Mazozolu pagasta pārvaldes</t>
  </si>
  <si>
    <t>Ogres novada Mazozolu pagasta pārvaldes vadītājs:                               Dz.Žvīgurs</t>
  </si>
  <si>
    <t>Ogres novada Lauberes pagasta pārvaldes</t>
  </si>
  <si>
    <t>Ogres novada Lauberes pagasta pārvaldes vadītājs:                                    A.Misters</t>
  </si>
  <si>
    <t>Ogres novada Krapes pagasta pārvaldes</t>
  </si>
  <si>
    <t>Ogres novada Krapes pagasta pārvaldes vadītājs:                                           I.Sandore</t>
  </si>
  <si>
    <t>Pielikums Nr.5</t>
  </si>
  <si>
    <t>Ogres novada pašvaldības 2018.gada ziedojumu un dāvinālumu ieņēmumi.</t>
  </si>
  <si>
    <t>PA "Ogres namsaim- nieks" 2018.g. budžets</t>
  </si>
  <si>
    <t>PA "Kultūras centrs" 2018.g. budžets</t>
  </si>
  <si>
    <t>23.0.0.0.</t>
  </si>
  <si>
    <t>Saņemtie ziedojumi un dāvinājumi</t>
  </si>
  <si>
    <t>Ogres novada pašvaldības 2018. gada ziedojumu un dāvinājumu  izdevumi atbilstoši funkcionālajām kategorijām.</t>
  </si>
  <si>
    <t>Aile kontrolei</t>
  </si>
  <si>
    <t>Ogres novada pašvaldības 2018. gada ziedojumu un dāvinājumu  izdevumi atbilstoši ekonomiskajām kategorijām.</t>
  </si>
  <si>
    <t>Pensijas un sociālie pabalsti naudā</t>
  </si>
  <si>
    <t>Pielikums Nr.3</t>
  </si>
  <si>
    <t>Plānotās kredīta summas</t>
  </si>
  <si>
    <t>Nr. p.k.</t>
  </si>
  <si>
    <t>2018.g. plānotie  kredīti (EUR)</t>
  </si>
  <si>
    <t>SAM 5.6.2.Degradētās teritorijas Pārogres industriālajā parkā revitalizācija</t>
  </si>
  <si>
    <t>Aizsargmola būvniecība pie Ogres ietekas Daugavā ar mērķi novērst plūdu un krasta erozijas risku apdraudējumu Ogres pilsētā</t>
  </si>
  <si>
    <t>Grants ceļu bez cietā seguma posmu pārbūve Ogres novadā</t>
  </si>
  <si>
    <t>Ēkas Parka ielā 1, Ogrē siltināšana un rekonstrukcija, pielāgojot pirmsskolas izglītības iestādes vajadzībām</t>
  </si>
  <si>
    <t>Projekta "Ēkas Upes prospektā 16, Ogrē  siltināšana un rekonstrukcija, pielāgojot Ogres novada Sociālā dienesta un tā struktūrvienību vajadzībām"realizācijai</t>
  </si>
  <si>
    <t>Projekta "Ēkas Upes prospektā 16, Ogrē  siltināšana un rekonstrukcija, pielāgojot Ogres novada Sociālā dienesta un tā struktūrvienību vajadzībām"dokumentācijas izstrādei</t>
  </si>
  <si>
    <t>Siltumnīcefekta gāzu emisiju samazināšana Ogres 1.vidusskolā</t>
  </si>
  <si>
    <t>8.1.2.SAM "Uzlabot vispārējās izglītības iestāžu mācību vidi Ogres novadā"</t>
  </si>
  <si>
    <t>Ogresgala pamatskolas sporta zāles atjaunošana un modernizēšana Ogres novada iedzīvotāju sportisko aktivitāšu dažādošanai (LAD)</t>
  </si>
  <si>
    <t>Ķeipenes dzelsceļa stacijas ēkas atjaunošana(LAD)</t>
  </si>
  <si>
    <t>Kultūras mantojuma saglabāšana un attīstība Daugavas ceļā</t>
  </si>
  <si>
    <t>Daugavpils šosejas (A6) atjaunošana sadarbībā ar Latvijas valsts ceļiem</t>
  </si>
  <si>
    <t xml:space="preserve">Teātra telpu izbūve Ogres kultūras centrā </t>
  </si>
  <si>
    <t>Pašvaldības autonomo funkciju veikšanai nepieciešamās automašīnas iegādei – Ogres pašvaldībai</t>
  </si>
  <si>
    <t>Pašvaldības autonomo funkciju veikšanai nepieciešamās automašīnas iegādei – Ogres sociālajam dienestam</t>
  </si>
  <si>
    <t>Pašvaldības autonomo funkciju veikšanai nepieciešamās automašīnas iegādei – Ogres pašvaldības policijai</t>
  </si>
  <si>
    <t>Kopā: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</si>
</sst>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&quot;Ls &quot;* #,##0.00_-;&quot;-Ls &quot;* #,##0.00_-;_-&quot;Ls &quot;* \-??_-;_-@_-"/>
    <numFmt numFmtId="167" formatCode="0\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RimTimes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0"/>
      <name val="BaltHelvetica"/>
      <family val="0"/>
    </font>
    <font>
      <sz val="10"/>
      <name val="BaltGaramond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0"/>
      <color rgb="FF00000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 style="thin"/>
      <bottom/>
    </border>
  </borders>
  <cellStyleXfs count="2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34" borderId="0" applyNumberFormat="0" applyBorder="0" applyAlignment="0" applyProtection="0"/>
    <xf numFmtId="0" fontId="2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7" borderId="0" applyNumberFormat="0" applyBorder="0" applyAlignment="0" applyProtection="0"/>
    <xf numFmtId="0" fontId="4" fillId="38" borderId="1" applyNumberFormat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0" fontId="5" fillId="40" borderId="2" applyNumberFormat="0" applyAlignment="0" applyProtection="0"/>
    <xf numFmtId="0" fontId="5" fillId="4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1" applyNumberFormat="0" applyAlignment="0" applyProtection="0"/>
    <xf numFmtId="0" fontId="11" fillId="14" borderId="1" applyNumberFormat="0" applyAlignment="0" applyProtection="0"/>
    <xf numFmtId="0" fontId="11" fillId="15" borderId="1" applyNumberFormat="0" applyAlignment="0" applyProtection="0"/>
    <xf numFmtId="0" fontId="15" fillId="38" borderId="6" applyNumberFormat="0" applyAlignment="0" applyProtection="0"/>
    <xf numFmtId="0" fontId="17" fillId="0" borderId="7" applyNumberFormat="0" applyFill="0" applyAlignment="0" applyProtection="0"/>
    <xf numFmtId="0" fontId="7" fillId="8" borderId="0" applyNumberFormat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" fillId="44" borderId="9" applyNumberFormat="0" applyFon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15" fillId="38" borderId="6" applyNumberFormat="0" applyAlignment="0" applyProtection="0"/>
    <xf numFmtId="0" fontId="15" fillId="39" borderId="6" applyNumberFormat="0" applyAlignment="0" applyProtection="0"/>
    <xf numFmtId="0" fontId="3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" fillId="0" borderId="0" applyNumberFormat="0" applyFill="0" applyBorder="0" applyAlignment="0" applyProtection="0"/>
    <xf numFmtId="0" fontId="5" fillId="4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4" borderId="9" applyNumberFormat="0" applyFont="0" applyAlignment="0" applyProtection="0"/>
    <xf numFmtId="0" fontId="0" fillId="44" borderId="9" applyNumberFormat="0" applyFont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167" fontId="31" fillId="39" borderId="0" applyBorder="0" applyProtection="0">
      <alignment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62">
    <xf numFmtId="0" fontId="0" fillId="0" borderId="0" xfId="0" applyAlignment="1">
      <alignment/>
    </xf>
    <xf numFmtId="3" fontId="21" fillId="46" borderId="10" xfId="0" applyNumberFormat="1" applyFont="1" applyFill="1" applyBorder="1" applyAlignment="1">
      <alignment/>
    </xf>
    <xf numFmtId="3" fontId="21" fillId="46" borderId="11" xfId="0" applyNumberFormat="1" applyFont="1" applyFill="1" applyBorder="1" applyAlignment="1" applyProtection="1">
      <alignment/>
      <protection/>
    </xf>
    <xf numFmtId="3" fontId="21" fillId="46" borderId="12" xfId="0" applyNumberFormat="1" applyFont="1" applyFill="1" applyBorder="1" applyAlignment="1">
      <alignment/>
    </xf>
    <xf numFmtId="3" fontId="21" fillId="46" borderId="13" xfId="0" applyNumberFormat="1" applyFont="1" applyFill="1" applyBorder="1" applyAlignment="1" applyProtection="1">
      <alignment horizontal="center"/>
      <protection/>
    </xf>
    <xf numFmtId="3" fontId="21" fillId="46" borderId="14" xfId="0" applyNumberFormat="1" applyFont="1" applyFill="1" applyBorder="1" applyAlignment="1">
      <alignment/>
    </xf>
    <xf numFmtId="3" fontId="23" fillId="46" borderId="10" xfId="0" applyNumberFormat="1" applyFont="1" applyFill="1" applyBorder="1" applyAlignment="1">
      <alignment/>
    </xf>
    <xf numFmtId="0" fontId="21" fillId="46" borderId="10" xfId="0" applyFont="1" applyFill="1" applyBorder="1" applyAlignment="1">
      <alignment wrapText="1"/>
    </xf>
    <xf numFmtId="3" fontId="23" fillId="46" borderId="15" xfId="0" applyNumberFormat="1" applyFont="1" applyFill="1" applyBorder="1" applyAlignment="1">
      <alignment/>
    </xf>
    <xf numFmtId="1" fontId="25" fillId="46" borderId="13" xfId="0" applyNumberFormat="1" applyFont="1" applyFill="1" applyBorder="1" applyAlignment="1">
      <alignment/>
    </xf>
    <xf numFmtId="0" fontId="21" fillId="46" borderId="0" xfId="0" applyFont="1" applyFill="1" applyAlignment="1">
      <alignment/>
    </xf>
    <xf numFmtId="3" fontId="21" fillId="46" borderId="0" xfId="0" applyNumberFormat="1" applyFont="1" applyFill="1" applyAlignment="1">
      <alignment wrapText="1"/>
    </xf>
    <xf numFmtId="3" fontId="21" fillId="46" borderId="0" xfId="0" applyNumberFormat="1" applyFont="1" applyFill="1" applyAlignment="1">
      <alignment/>
    </xf>
    <xf numFmtId="1" fontId="21" fillId="46" borderId="0" xfId="0" applyNumberFormat="1" applyFont="1" applyFill="1" applyAlignment="1">
      <alignment/>
    </xf>
    <xf numFmtId="0" fontId="21" fillId="46" borderId="0" xfId="239" applyFont="1" applyFill="1" applyAlignment="1">
      <alignment horizontal="left"/>
      <protection/>
    </xf>
    <xf numFmtId="0" fontId="23" fillId="46" borderId="0" xfId="0" applyFont="1" applyFill="1" applyAlignment="1">
      <alignment/>
    </xf>
    <xf numFmtId="0" fontId="21" fillId="46" borderId="0" xfId="0" applyFont="1" applyFill="1" applyAlignment="1">
      <alignment horizontal="left"/>
    </xf>
    <xf numFmtId="0" fontId="21" fillId="46" borderId="0" xfId="0" applyFont="1" applyFill="1" applyAlignment="1">
      <alignment horizontal="left" wrapText="1"/>
    </xf>
    <xf numFmtId="3" fontId="21" fillId="46" borderId="0" xfId="0" applyNumberFormat="1" applyFont="1" applyFill="1" applyAlignment="1">
      <alignment horizontal="left"/>
    </xf>
    <xf numFmtId="0" fontId="21" fillId="46" borderId="0" xfId="0" applyFont="1" applyFill="1" applyBorder="1" applyAlignment="1">
      <alignment/>
    </xf>
    <xf numFmtId="0" fontId="20" fillId="46" borderId="16" xfId="0" applyFont="1" applyFill="1" applyBorder="1" applyAlignment="1">
      <alignment horizontal="center" vertical="center"/>
    </xf>
    <xf numFmtId="0" fontId="20" fillId="46" borderId="17" xfId="0" applyFont="1" applyFill="1" applyBorder="1" applyAlignment="1" applyProtection="1">
      <alignment horizontal="center" vertical="center" wrapText="1"/>
      <protection/>
    </xf>
    <xf numFmtId="0" fontId="21" fillId="46" borderId="17" xfId="0" applyFont="1" applyFill="1" applyBorder="1" applyAlignment="1" applyProtection="1">
      <alignment horizontal="center" vertical="center" wrapText="1"/>
      <protection/>
    </xf>
    <xf numFmtId="3" fontId="21" fillId="46" borderId="17" xfId="0" applyNumberFormat="1" applyFont="1" applyFill="1" applyBorder="1" applyAlignment="1" applyProtection="1">
      <alignment horizontal="center" vertical="center" wrapText="1"/>
      <protection/>
    </xf>
    <xf numFmtId="0" fontId="21" fillId="46" borderId="18" xfId="234" applyFont="1" applyFill="1" applyBorder="1" applyAlignment="1">
      <alignment horizontal="center" vertical="center" wrapText="1"/>
      <protection/>
    </xf>
    <xf numFmtId="0" fontId="21" fillId="46" borderId="17" xfId="235" applyFont="1" applyFill="1" applyBorder="1" applyAlignment="1">
      <alignment vertical="center" wrapText="1"/>
      <protection/>
    </xf>
    <xf numFmtId="0" fontId="21" fillId="46" borderId="15" xfId="235" applyFont="1" applyFill="1" applyBorder="1" applyAlignment="1">
      <alignment vertical="center" wrapText="1"/>
      <protection/>
    </xf>
    <xf numFmtId="0" fontId="23" fillId="46" borderId="19" xfId="231" applyFont="1" applyFill="1" applyBorder="1" applyAlignment="1" applyProtection="1">
      <alignment horizontal="center" vertical="center" wrapText="1"/>
      <protection/>
    </xf>
    <xf numFmtId="0" fontId="23" fillId="46" borderId="16" xfId="0" applyFont="1" applyFill="1" applyBorder="1" applyAlignment="1">
      <alignment horizontal="right"/>
    </xf>
    <xf numFmtId="0" fontId="23" fillId="46" borderId="17" xfId="0" applyFont="1" applyFill="1" applyBorder="1" applyAlignment="1">
      <alignment wrapText="1"/>
    </xf>
    <xf numFmtId="3" fontId="23" fillId="46" borderId="17" xfId="0" applyNumberFormat="1" applyFont="1" applyFill="1" applyBorder="1" applyAlignment="1">
      <alignment/>
    </xf>
    <xf numFmtId="3" fontId="23" fillId="46" borderId="19" xfId="0" applyNumberFormat="1" applyFont="1" applyFill="1" applyBorder="1" applyAlignment="1">
      <alignment/>
    </xf>
    <xf numFmtId="0" fontId="21" fillId="46" borderId="20" xfId="0" applyFont="1" applyFill="1" applyBorder="1" applyAlignment="1">
      <alignment horizontal="left"/>
    </xf>
    <xf numFmtId="0" fontId="21" fillId="46" borderId="11" xfId="0" applyFont="1" applyFill="1" applyBorder="1" applyAlignment="1">
      <alignment wrapText="1"/>
    </xf>
    <xf numFmtId="3" fontId="21" fillId="46" borderId="11" xfId="0" applyNumberFormat="1" applyFont="1" applyFill="1" applyBorder="1" applyAlignment="1">
      <alignment/>
    </xf>
    <xf numFmtId="3" fontId="21" fillId="46" borderId="21" xfId="0" applyNumberFormat="1" applyFont="1" applyFill="1" applyBorder="1" applyAlignment="1">
      <alignment/>
    </xf>
    <xf numFmtId="3" fontId="23" fillId="46" borderId="22" xfId="0" applyNumberFormat="1" applyFont="1" applyFill="1" applyBorder="1" applyAlignment="1">
      <alignment/>
    </xf>
    <xf numFmtId="0" fontId="21" fillId="46" borderId="23" xfId="0" applyFont="1" applyFill="1" applyBorder="1" applyAlignment="1">
      <alignment horizontal="right"/>
    </xf>
    <xf numFmtId="0" fontId="21" fillId="46" borderId="13" xfId="0" applyFont="1" applyFill="1" applyBorder="1" applyAlignment="1">
      <alignment wrapText="1"/>
    </xf>
    <xf numFmtId="3" fontId="21" fillId="46" borderId="13" xfId="0" applyNumberFormat="1" applyFont="1" applyFill="1" applyBorder="1" applyAlignment="1">
      <alignment/>
    </xf>
    <xf numFmtId="165" fontId="21" fillId="46" borderId="13" xfId="0" applyNumberFormat="1" applyFont="1" applyFill="1" applyBorder="1" applyAlignment="1">
      <alignment/>
    </xf>
    <xf numFmtId="0" fontId="21" fillId="46" borderId="23" xfId="0" applyFont="1" applyFill="1" applyBorder="1" applyAlignment="1">
      <alignment horizontal="left"/>
    </xf>
    <xf numFmtId="3" fontId="21" fillId="46" borderId="24" xfId="0" applyNumberFormat="1" applyFont="1" applyFill="1" applyBorder="1" applyAlignment="1">
      <alignment/>
    </xf>
    <xf numFmtId="0" fontId="21" fillId="46" borderId="24" xfId="0" applyFont="1" applyFill="1" applyBorder="1" applyAlignment="1">
      <alignment wrapText="1"/>
    </xf>
    <xf numFmtId="1" fontId="21" fillId="46" borderId="24" xfId="0" applyNumberFormat="1" applyFont="1" applyFill="1" applyBorder="1" applyAlignment="1">
      <alignment/>
    </xf>
    <xf numFmtId="1" fontId="21" fillId="46" borderId="25" xfId="0" applyNumberFormat="1" applyFont="1" applyFill="1" applyBorder="1" applyAlignment="1">
      <alignment/>
    </xf>
    <xf numFmtId="1" fontId="21" fillId="46" borderId="13" xfId="0" applyNumberFormat="1" applyFont="1" applyFill="1" applyBorder="1" applyAlignment="1">
      <alignment/>
    </xf>
    <xf numFmtId="0" fontId="21" fillId="46" borderId="26" xfId="0" applyFont="1" applyFill="1" applyBorder="1" applyAlignment="1">
      <alignment horizontal="left"/>
    </xf>
    <xf numFmtId="0" fontId="21" fillId="46" borderId="27" xfId="0" applyFont="1" applyFill="1" applyBorder="1" applyAlignment="1">
      <alignment wrapText="1"/>
    </xf>
    <xf numFmtId="3" fontId="21" fillId="46" borderId="27" xfId="0" applyNumberFormat="1" applyFont="1" applyFill="1" applyBorder="1" applyAlignment="1">
      <alignment/>
    </xf>
    <xf numFmtId="3" fontId="21" fillId="46" borderId="28" xfId="0" applyNumberFormat="1" applyFont="1" applyFill="1" applyBorder="1" applyAlignment="1">
      <alignment/>
    </xf>
    <xf numFmtId="164" fontId="21" fillId="46" borderId="27" xfId="0" applyNumberFormat="1" applyFont="1" applyFill="1" applyBorder="1" applyAlignment="1">
      <alignment/>
    </xf>
    <xf numFmtId="0" fontId="21" fillId="46" borderId="27" xfId="0" applyFont="1" applyFill="1" applyBorder="1" applyAlignment="1">
      <alignment/>
    </xf>
    <xf numFmtId="0" fontId="21" fillId="46" borderId="28" xfId="0" applyFont="1" applyFill="1" applyBorder="1" applyAlignment="1">
      <alignment/>
    </xf>
    <xf numFmtId="3" fontId="23" fillId="46" borderId="29" xfId="0" applyNumberFormat="1" applyFont="1" applyFill="1" applyBorder="1" applyAlignment="1">
      <alignment/>
    </xf>
    <xf numFmtId="0" fontId="23" fillId="46" borderId="12" xfId="0" applyFont="1" applyFill="1" applyBorder="1" applyAlignment="1">
      <alignment wrapText="1"/>
    </xf>
    <xf numFmtId="3" fontId="23" fillId="46" borderId="12" xfId="0" applyNumberFormat="1" applyFont="1" applyFill="1" applyBorder="1" applyAlignment="1">
      <alignment/>
    </xf>
    <xf numFmtId="3" fontId="23" fillId="46" borderId="30" xfId="0" applyNumberFormat="1" applyFont="1" applyFill="1" applyBorder="1" applyAlignment="1">
      <alignment/>
    </xf>
    <xf numFmtId="1" fontId="21" fillId="46" borderId="11" xfId="0" applyNumberFormat="1" applyFont="1" applyFill="1" applyBorder="1" applyAlignment="1">
      <alignment/>
    </xf>
    <xf numFmtId="0" fontId="21" fillId="46" borderId="11" xfId="0" applyFont="1" applyFill="1" applyBorder="1" applyAlignment="1">
      <alignment/>
    </xf>
    <xf numFmtId="0" fontId="21" fillId="46" borderId="21" xfId="0" applyFont="1" applyFill="1" applyBorder="1" applyAlignment="1">
      <alignment/>
    </xf>
    <xf numFmtId="0" fontId="21" fillId="46" borderId="13" xfId="0" applyFont="1" applyFill="1" applyBorder="1" applyAlignment="1">
      <alignment/>
    </xf>
    <xf numFmtId="0" fontId="21" fillId="46" borderId="10" xfId="0" applyFont="1" applyFill="1" applyBorder="1" applyAlignment="1">
      <alignment/>
    </xf>
    <xf numFmtId="0" fontId="23" fillId="46" borderId="31" xfId="0" applyFont="1" applyFill="1" applyBorder="1" applyAlignment="1">
      <alignment horizontal="left"/>
    </xf>
    <xf numFmtId="0" fontId="23" fillId="46" borderId="0" xfId="0" applyFont="1" applyFill="1" applyBorder="1" applyAlignment="1">
      <alignment wrapText="1"/>
    </xf>
    <xf numFmtId="3" fontId="21" fillId="46" borderId="32" xfId="0" applyNumberFormat="1" applyFont="1" applyFill="1" applyBorder="1" applyAlignment="1">
      <alignment/>
    </xf>
    <xf numFmtId="3" fontId="21" fillId="46" borderId="33" xfId="0" applyNumberFormat="1" applyFont="1" applyFill="1" applyBorder="1" applyAlignment="1">
      <alignment/>
    </xf>
    <xf numFmtId="0" fontId="21" fillId="46" borderId="32" xfId="0" applyFont="1" applyFill="1" applyBorder="1" applyAlignment="1">
      <alignment/>
    </xf>
    <xf numFmtId="0" fontId="23" fillId="46" borderId="16" xfId="0" applyFont="1" applyFill="1" applyBorder="1" applyAlignment="1">
      <alignment horizontal="left"/>
    </xf>
    <xf numFmtId="0" fontId="21" fillId="46" borderId="34" xfId="0" applyFont="1" applyFill="1" applyBorder="1" applyAlignment="1">
      <alignment horizontal="left"/>
    </xf>
    <xf numFmtId="0" fontId="21" fillId="46" borderId="12" xfId="0" applyFont="1" applyFill="1" applyBorder="1" applyAlignment="1">
      <alignment wrapText="1"/>
    </xf>
    <xf numFmtId="0" fontId="21" fillId="46" borderId="21" xfId="0" applyFont="1" applyFill="1" applyBorder="1" applyAlignment="1">
      <alignment wrapText="1"/>
    </xf>
    <xf numFmtId="3" fontId="25" fillId="46" borderId="27" xfId="0" applyNumberFormat="1" applyFont="1" applyFill="1" applyBorder="1" applyAlignment="1">
      <alignment/>
    </xf>
    <xf numFmtId="3" fontId="21" fillId="46" borderId="35" xfId="0" applyNumberFormat="1" applyFont="1" applyFill="1" applyBorder="1" applyAlignment="1">
      <alignment/>
    </xf>
    <xf numFmtId="3" fontId="21" fillId="46" borderId="36" xfId="0" applyNumberFormat="1" applyFont="1" applyFill="1" applyBorder="1" applyAlignment="1">
      <alignment/>
    </xf>
    <xf numFmtId="3" fontId="21" fillId="46" borderId="37" xfId="0" applyNumberFormat="1" applyFont="1" applyFill="1" applyBorder="1" applyAlignment="1">
      <alignment/>
    </xf>
    <xf numFmtId="0" fontId="21" fillId="46" borderId="20" xfId="0" applyFont="1" applyFill="1" applyBorder="1" applyAlignment="1">
      <alignment horizontal="right"/>
    </xf>
    <xf numFmtId="0" fontId="22" fillId="46" borderId="0" xfId="0" applyFont="1" applyFill="1" applyBorder="1" applyAlignment="1">
      <alignment wrapText="1"/>
    </xf>
    <xf numFmtId="3" fontId="23" fillId="46" borderId="11" xfId="0" applyNumberFormat="1" applyFont="1" applyFill="1" applyBorder="1" applyAlignment="1">
      <alignment/>
    </xf>
    <xf numFmtId="164" fontId="21" fillId="46" borderId="11" xfId="0" applyNumberFormat="1" applyFont="1" applyFill="1" applyBorder="1" applyAlignment="1">
      <alignment/>
    </xf>
    <xf numFmtId="0" fontId="23" fillId="46" borderId="23" xfId="0" applyFont="1" applyFill="1" applyBorder="1" applyAlignment="1">
      <alignment horizontal="left"/>
    </xf>
    <xf numFmtId="0" fontId="23" fillId="46" borderId="13" xfId="0" applyFont="1" applyFill="1" applyBorder="1" applyAlignment="1">
      <alignment wrapText="1"/>
    </xf>
    <xf numFmtId="3" fontId="23" fillId="46" borderId="13" xfId="0" applyNumberFormat="1" applyFont="1" applyFill="1" applyBorder="1" applyAlignment="1">
      <alignment/>
    </xf>
    <xf numFmtId="3" fontId="23" fillId="46" borderId="25" xfId="0" applyNumberFormat="1" applyFont="1" applyFill="1" applyBorder="1" applyAlignment="1">
      <alignment/>
    </xf>
    <xf numFmtId="3" fontId="23" fillId="46" borderId="24" xfId="0" applyNumberFormat="1" applyFont="1" applyFill="1" applyBorder="1" applyAlignment="1">
      <alignment/>
    </xf>
    <xf numFmtId="3" fontId="21" fillId="46" borderId="25" xfId="0" applyNumberFormat="1" applyFont="1" applyFill="1" applyBorder="1" applyAlignment="1">
      <alignment/>
    </xf>
    <xf numFmtId="164" fontId="21" fillId="46" borderId="13" xfId="0" applyNumberFormat="1" applyFont="1" applyFill="1" applyBorder="1" applyAlignment="1">
      <alignment/>
    </xf>
    <xf numFmtId="0" fontId="23" fillId="46" borderId="32" xfId="0" applyFont="1" applyFill="1" applyBorder="1" applyAlignment="1">
      <alignment wrapText="1"/>
    </xf>
    <xf numFmtId="1" fontId="25" fillId="46" borderId="32" xfId="0" applyNumberFormat="1" applyFont="1" applyFill="1" applyBorder="1" applyAlignment="1">
      <alignment/>
    </xf>
    <xf numFmtId="1" fontId="21" fillId="46" borderId="32" xfId="0" applyNumberFormat="1" applyFont="1" applyFill="1" applyBorder="1" applyAlignment="1">
      <alignment/>
    </xf>
    <xf numFmtId="1" fontId="21" fillId="46" borderId="38" xfId="0" applyNumberFormat="1" applyFont="1" applyFill="1" applyBorder="1" applyAlignment="1">
      <alignment/>
    </xf>
    <xf numFmtId="0" fontId="21" fillId="46" borderId="16" xfId="0" applyFont="1" applyFill="1" applyBorder="1" applyAlignment="1">
      <alignment horizontal="right"/>
    </xf>
    <xf numFmtId="0" fontId="23" fillId="46" borderId="17" xfId="0" applyFont="1" applyFill="1" applyBorder="1" applyAlignment="1">
      <alignment horizontal="right" wrapText="1"/>
    </xf>
    <xf numFmtId="3" fontId="23" fillId="46" borderId="17" xfId="0" applyNumberFormat="1" applyFont="1" applyFill="1" applyBorder="1" applyAlignment="1">
      <alignment horizontal="center"/>
    </xf>
    <xf numFmtId="3" fontId="23" fillId="46" borderId="15" xfId="0" applyNumberFormat="1" applyFont="1" applyFill="1" applyBorder="1" applyAlignment="1">
      <alignment horizontal="center"/>
    </xf>
    <xf numFmtId="0" fontId="21" fillId="46" borderId="11" xfId="0" applyFont="1" applyFill="1" applyBorder="1" applyAlignment="1" applyProtection="1">
      <alignment/>
      <protection/>
    </xf>
    <xf numFmtId="0" fontId="21" fillId="46" borderId="11" xfId="0" applyFont="1" applyFill="1" applyBorder="1" applyAlignment="1" applyProtection="1">
      <alignment horizontal="left" wrapText="1"/>
      <protection/>
    </xf>
    <xf numFmtId="0" fontId="23" fillId="46" borderId="13" xfId="0" applyFont="1" applyFill="1" applyBorder="1" applyAlignment="1" applyProtection="1">
      <alignment/>
      <protection/>
    </xf>
    <xf numFmtId="0" fontId="23" fillId="46" borderId="13" xfId="0" applyFont="1" applyFill="1" applyBorder="1" applyAlignment="1" applyProtection="1">
      <alignment horizontal="left" wrapText="1"/>
      <protection/>
    </xf>
    <xf numFmtId="3" fontId="23" fillId="46" borderId="13" xfId="0" applyNumberFormat="1" applyFont="1" applyFill="1" applyBorder="1" applyAlignment="1" applyProtection="1">
      <alignment horizontal="center"/>
      <protection/>
    </xf>
    <xf numFmtId="3" fontId="23" fillId="46" borderId="13" xfId="0" applyNumberFormat="1" applyFont="1" applyFill="1" applyBorder="1" applyAlignment="1" applyProtection="1">
      <alignment/>
      <protection/>
    </xf>
    <xf numFmtId="3" fontId="23" fillId="46" borderId="10" xfId="0" applyNumberFormat="1" applyFont="1" applyFill="1" applyBorder="1" applyAlignment="1" applyProtection="1">
      <alignment/>
      <protection/>
    </xf>
    <xf numFmtId="0" fontId="21" fillId="46" borderId="13" xfId="0" applyFont="1" applyFill="1" applyBorder="1" applyAlignment="1" applyProtection="1">
      <alignment/>
      <protection/>
    </xf>
    <xf numFmtId="0" fontId="21" fillId="46" borderId="13" xfId="0" applyFont="1" applyFill="1" applyBorder="1" applyAlignment="1" applyProtection="1">
      <alignment horizontal="left" wrapText="1"/>
      <protection/>
    </xf>
    <xf numFmtId="0" fontId="23" fillId="46" borderId="0" xfId="0" applyFont="1" applyFill="1" applyBorder="1" applyAlignment="1" applyProtection="1">
      <alignment/>
      <protection/>
    </xf>
    <xf numFmtId="0" fontId="21" fillId="46" borderId="0" xfId="0" applyFont="1" applyFill="1" applyBorder="1" applyAlignment="1" applyProtection="1">
      <alignment horizontal="left" wrapText="1"/>
      <protection/>
    </xf>
    <xf numFmtId="3" fontId="23" fillId="46" borderId="0" xfId="0" applyNumberFormat="1" applyFont="1" applyFill="1" applyBorder="1" applyAlignment="1" applyProtection="1">
      <alignment horizontal="center"/>
      <protection/>
    </xf>
    <xf numFmtId="3" fontId="23" fillId="46" borderId="0" xfId="0" applyNumberFormat="1" applyFont="1" applyFill="1" applyBorder="1" applyAlignment="1" applyProtection="1">
      <alignment/>
      <protection/>
    </xf>
    <xf numFmtId="165" fontId="23" fillId="46" borderId="0" xfId="0" applyNumberFormat="1" applyFont="1" applyFill="1" applyBorder="1" applyAlignment="1">
      <alignment/>
    </xf>
    <xf numFmtId="0" fontId="23" fillId="46" borderId="0" xfId="0" applyFont="1" applyFill="1" applyBorder="1" applyAlignment="1" applyProtection="1">
      <alignment horizontal="right" wrapText="1"/>
      <protection/>
    </xf>
    <xf numFmtId="3" fontId="23" fillId="46" borderId="0" xfId="0" applyNumberFormat="1" applyFont="1" applyFill="1" applyBorder="1" applyAlignment="1">
      <alignment/>
    </xf>
    <xf numFmtId="3" fontId="26" fillId="46" borderId="0" xfId="0" applyNumberFormat="1" applyFont="1" applyFill="1" applyBorder="1" applyAlignment="1" applyProtection="1">
      <alignment horizontal="center"/>
      <protection/>
    </xf>
    <xf numFmtId="3" fontId="26" fillId="46" borderId="0" xfId="0" applyNumberFormat="1" applyFont="1" applyFill="1" applyAlignment="1">
      <alignment/>
    </xf>
    <xf numFmtId="0" fontId="21" fillId="46" borderId="0" xfId="0" applyFont="1" applyFill="1" applyAlignment="1">
      <alignment wrapText="1"/>
    </xf>
    <xf numFmtId="0" fontId="21" fillId="46" borderId="0" xfId="239" applyFont="1" applyFill="1" applyAlignment="1">
      <alignment horizontal="right"/>
      <protection/>
    </xf>
    <xf numFmtId="0" fontId="23" fillId="46" borderId="0" xfId="0" applyFont="1" applyFill="1" applyBorder="1" applyAlignment="1">
      <alignment horizontal="right"/>
    </xf>
    <xf numFmtId="3" fontId="23" fillId="46" borderId="0" xfId="0" applyNumberFormat="1" applyFont="1" applyFill="1" applyBorder="1" applyAlignment="1">
      <alignment wrapText="1"/>
    </xf>
    <xf numFmtId="49" fontId="23" fillId="46" borderId="16" xfId="0" applyNumberFormat="1" applyFont="1" applyFill="1" applyBorder="1" applyAlignment="1">
      <alignment/>
    </xf>
    <xf numFmtId="49" fontId="23" fillId="46" borderId="20" xfId="0" applyNumberFormat="1" applyFont="1" applyFill="1" applyBorder="1" applyAlignment="1">
      <alignment horizontal="right"/>
    </xf>
    <xf numFmtId="0" fontId="23" fillId="46" borderId="11" xfId="0" applyFont="1" applyFill="1" applyBorder="1" applyAlignment="1">
      <alignment wrapText="1"/>
    </xf>
    <xf numFmtId="0" fontId="23" fillId="46" borderId="21" xfId="0" applyFont="1" applyFill="1" applyBorder="1" applyAlignment="1">
      <alignment wrapText="1"/>
    </xf>
    <xf numFmtId="3" fontId="23" fillId="46" borderId="21" xfId="0" applyNumberFormat="1" applyFont="1" applyFill="1" applyBorder="1" applyAlignment="1">
      <alignment/>
    </xf>
    <xf numFmtId="3" fontId="23" fillId="46" borderId="39" xfId="0" applyNumberFormat="1" applyFont="1" applyFill="1" applyBorder="1" applyAlignment="1">
      <alignment/>
    </xf>
    <xf numFmtId="3" fontId="23" fillId="46" borderId="40" xfId="0" applyNumberFormat="1" applyFont="1" applyFill="1" applyBorder="1" applyAlignment="1">
      <alignment/>
    </xf>
    <xf numFmtId="3" fontId="23" fillId="46" borderId="41" xfId="0" applyNumberFormat="1" applyFont="1" applyFill="1" applyBorder="1" applyAlignment="1">
      <alignment/>
    </xf>
    <xf numFmtId="49" fontId="23" fillId="46" borderId="23" xfId="0" applyNumberFormat="1" applyFont="1" applyFill="1" applyBorder="1" applyAlignment="1">
      <alignment horizontal="right"/>
    </xf>
    <xf numFmtId="3" fontId="23" fillId="46" borderId="42" xfId="0" applyNumberFormat="1" applyFont="1" applyFill="1" applyBorder="1" applyAlignment="1">
      <alignment/>
    </xf>
    <xf numFmtId="49" fontId="21" fillId="46" borderId="23" xfId="0" applyNumberFormat="1" applyFont="1" applyFill="1" applyBorder="1" applyAlignment="1">
      <alignment horizontal="right"/>
    </xf>
    <xf numFmtId="0" fontId="23" fillId="46" borderId="13" xfId="0" applyFont="1" applyFill="1" applyBorder="1" applyAlignment="1">
      <alignment horizontal="left" wrapText="1"/>
    </xf>
    <xf numFmtId="0" fontId="23" fillId="46" borderId="10" xfId="0" applyFont="1" applyFill="1" applyBorder="1" applyAlignment="1">
      <alignment horizontal="right" wrapText="1"/>
    </xf>
    <xf numFmtId="49" fontId="21" fillId="46" borderId="23" xfId="0" applyNumberFormat="1" applyFont="1" applyFill="1" applyBorder="1" applyAlignment="1">
      <alignment horizontal="right" wrapText="1"/>
    </xf>
    <xf numFmtId="0" fontId="21" fillId="46" borderId="28" xfId="0" applyFont="1" applyFill="1" applyBorder="1" applyAlignment="1">
      <alignment wrapText="1"/>
    </xf>
    <xf numFmtId="1" fontId="21" fillId="46" borderId="27" xfId="0" applyNumberFormat="1" applyFont="1" applyFill="1" applyBorder="1" applyAlignment="1">
      <alignment/>
    </xf>
    <xf numFmtId="49" fontId="23" fillId="46" borderId="26" xfId="0" applyNumberFormat="1" applyFont="1" applyFill="1" applyBorder="1" applyAlignment="1">
      <alignment horizontal="right"/>
    </xf>
    <xf numFmtId="0" fontId="23" fillId="46" borderId="27" xfId="0" applyFont="1" applyFill="1" applyBorder="1" applyAlignment="1">
      <alignment wrapText="1"/>
    </xf>
    <xf numFmtId="0" fontId="23" fillId="46" borderId="28" xfId="0" applyFont="1" applyFill="1" applyBorder="1" applyAlignment="1">
      <alignment wrapText="1"/>
    </xf>
    <xf numFmtId="3" fontId="23" fillId="46" borderId="28" xfId="0" applyNumberFormat="1" applyFont="1" applyFill="1" applyBorder="1" applyAlignment="1">
      <alignment/>
    </xf>
    <xf numFmtId="3" fontId="23" fillId="46" borderId="27" xfId="0" applyNumberFormat="1" applyFont="1" applyFill="1" applyBorder="1" applyAlignment="1">
      <alignment/>
    </xf>
    <xf numFmtId="1" fontId="23" fillId="46" borderId="36" xfId="0" applyNumberFormat="1" applyFont="1" applyFill="1" applyBorder="1" applyAlignment="1">
      <alignment/>
    </xf>
    <xf numFmtId="164" fontId="23" fillId="46" borderId="27" xfId="0" applyNumberFormat="1" applyFont="1" applyFill="1" applyBorder="1" applyAlignment="1">
      <alignment/>
    </xf>
    <xf numFmtId="1" fontId="23" fillId="46" borderId="27" xfId="0" applyNumberFormat="1" applyFont="1" applyFill="1" applyBorder="1" applyAlignment="1">
      <alignment/>
    </xf>
    <xf numFmtId="0" fontId="23" fillId="46" borderId="27" xfId="0" applyFont="1" applyFill="1" applyBorder="1" applyAlignment="1">
      <alignment/>
    </xf>
    <xf numFmtId="0" fontId="23" fillId="46" borderId="28" xfId="0" applyFont="1" applyFill="1" applyBorder="1" applyAlignment="1">
      <alignment/>
    </xf>
    <xf numFmtId="3" fontId="23" fillId="46" borderId="43" xfId="0" applyNumberFormat="1" applyFont="1" applyFill="1" applyBorder="1" applyAlignment="1">
      <alignment/>
    </xf>
    <xf numFmtId="49" fontId="23" fillId="46" borderId="16" xfId="0" applyNumberFormat="1" applyFont="1" applyFill="1" applyBorder="1" applyAlignment="1">
      <alignment horizontal="left"/>
    </xf>
    <xf numFmtId="0" fontId="21" fillId="46" borderId="27" xfId="232" applyFont="1" applyFill="1" applyBorder="1" applyAlignment="1">
      <alignment horizontal="left" wrapText="1"/>
      <protection/>
    </xf>
    <xf numFmtId="0" fontId="21" fillId="46" borderId="28" xfId="232" applyFont="1" applyFill="1" applyBorder="1" applyAlignment="1">
      <alignment horizontal="left" wrapText="1"/>
      <protection/>
    </xf>
    <xf numFmtId="3" fontId="23" fillId="46" borderId="14" xfId="0" applyNumberFormat="1" applyFont="1" applyFill="1" applyBorder="1" applyAlignment="1">
      <alignment/>
    </xf>
    <xf numFmtId="1" fontId="23" fillId="46" borderId="13" xfId="0" applyNumberFormat="1" applyFont="1" applyFill="1" applyBorder="1" applyAlignment="1">
      <alignment/>
    </xf>
    <xf numFmtId="164" fontId="23" fillId="46" borderId="13" xfId="0" applyNumberFormat="1" applyFont="1" applyFill="1" applyBorder="1" applyAlignment="1">
      <alignment/>
    </xf>
    <xf numFmtId="0" fontId="23" fillId="46" borderId="13" xfId="0" applyFont="1" applyFill="1" applyBorder="1" applyAlignment="1">
      <alignment/>
    </xf>
    <xf numFmtId="0" fontId="23" fillId="46" borderId="14" xfId="0" applyFont="1" applyFill="1" applyBorder="1" applyAlignment="1">
      <alignment/>
    </xf>
    <xf numFmtId="0" fontId="23" fillId="46" borderId="33" xfId="0" applyFont="1" applyFill="1" applyBorder="1" applyAlignment="1">
      <alignment wrapText="1"/>
    </xf>
    <xf numFmtId="3" fontId="23" fillId="46" borderId="33" xfId="0" applyNumberFormat="1" applyFont="1" applyFill="1" applyBorder="1" applyAlignment="1">
      <alignment/>
    </xf>
    <xf numFmtId="1" fontId="23" fillId="46" borderId="33" xfId="0" applyNumberFormat="1" applyFont="1" applyFill="1" applyBorder="1" applyAlignment="1">
      <alignment/>
    </xf>
    <xf numFmtId="164" fontId="23" fillId="46" borderId="33" xfId="0" applyNumberFormat="1" applyFont="1" applyFill="1" applyBorder="1" applyAlignment="1">
      <alignment/>
    </xf>
    <xf numFmtId="0" fontId="23" fillId="46" borderId="33" xfId="0" applyFont="1" applyFill="1" applyBorder="1" applyAlignment="1">
      <alignment/>
    </xf>
    <xf numFmtId="0" fontId="23" fillId="46" borderId="11" xfId="0" applyFont="1" applyFill="1" applyBorder="1" applyAlignment="1">
      <alignment/>
    </xf>
    <xf numFmtId="49" fontId="21" fillId="46" borderId="20" xfId="0" applyNumberFormat="1" applyFont="1" applyFill="1" applyBorder="1" applyAlignment="1">
      <alignment horizontal="right"/>
    </xf>
    <xf numFmtId="3" fontId="21" fillId="46" borderId="29" xfId="0" applyNumberFormat="1" applyFont="1" applyFill="1" applyBorder="1" applyAlignment="1">
      <alignment/>
    </xf>
    <xf numFmtId="0" fontId="21" fillId="46" borderId="13" xfId="0" applyFont="1" applyFill="1" applyBorder="1" applyAlignment="1">
      <alignment horizontal="left" wrapText="1"/>
    </xf>
    <xf numFmtId="0" fontId="21" fillId="46" borderId="21" xfId="0" applyFont="1" applyFill="1" applyBorder="1" applyAlignment="1">
      <alignment horizontal="right" wrapText="1"/>
    </xf>
    <xf numFmtId="0" fontId="26" fillId="46" borderId="21" xfId="0" applyFont="1" applyFill="1" applyBorder="1" applyAlignment="1">
      <alignment/>
    </xf>
    <xf numFmtId="3" fontId="21" fillId="46" borderId="42" xfId="0" applyNumberFormat="1" applyFont="1" applyFill="1" applyBorder="1" applyAlignment="1">
      <alignment/>
    </xf>
    <xf numFmtId="49" fontId="21" fillId="46" borderId="13" xfId="0" applyNumberFormat="1" applyFont="1" applyFill="1" applyBorder="1" applyAlignment="1">
      <alignment horizontal="left"/>
    </xf>
    <xf numFmtId="0" fontId="21" fillId="46" borderId="21" xfId="0" applyNumberFormat="1" applyFont="1" applyFill="1" applyBorder="1" applyAlignment="1">
      <alignment horizontal="right"/>
    </xf>
    <xf numFmtId="0" fontId="21" fillId="46" borderId="13" xfId="232" applyFont="1" applyFill="1" applyBorder="1" applyAlignment="1">
      <alignment horizontal="right" wrapText="1"/>
      <protection/>
    </xf>
    <xf numFmtId="0" fontId="21" fillId="46" borderId="13" xfId="232" applyFont="1" applyFill="1" applyBorder="1" applyAlignment="1">
      <alignment horizontal="left" wrapText="1"/>
      <protection/>
    </xf>
    <xf numFmtId="0" fontId="21" fillId="46" borderId="13" xfId="232" applyFont="1" applyFill="1" applyBorder="1" applyAlignment="1">
      <alignment horizontal="left" vertical="center" wrapText="1"/>
      <protection/>
    </xf>
    <xf numFmtId="0" fontId="21" fillId="46" borderId="21" xfId="232" applyFont="1" applyFill="1" applyBorder="1" applyAlignment="1">
      <alignment horizontal="right" vertical="center" wrapText="1"/>
      <protection/>
    </xf>
    <xf numFmtId="0" fontId="21" fillId="46" borderId="10" xfId="0" applyFont="1" applyFill="1" applyBorder="1" applyAlignment="1">
      <alignment horizontal="right" wrapText="1"/>
    </xf>
    <xf numFmtId="0" fontId="21" fillId="46" borderId="10" xfId="0" applyFont="1" applyFill="1" applyBorder="1" applyAlignment="1">
      <alignment horizontal="left" wrapText="1"/>
    </xf>
    <xf numFmtId="0" fontId="23" fillId="46" borderId="17" xfId="0" applyFont="1" applyFill="1" applyBorder="1" applyAlignment="1">
      <alignment horizontal="left" wrapText="1"/>
    </xf>
    <xf numFmtId="0" fontId="23" fillId="46" borderId="11" xfId="0" applyFont="1" applyFill="1" applyBorder="1" applyAlignment="1">
      <alignment horizontal="left" wrapText="1"/>
    </xf>
    <xf numFmtId="3" fontId="23" fillId="46" borderId="44" xfId="0" applyNumberFormat="1" applyFont="1" applyFill="1" applyBorder="1" applyAlignment="1">
      <alignment/>
    </xf>
    <xf numFmtId="49" fontId="21" fillId="46" borderId="26" xfId="0" applyNumberFormat="1" applyFont="1" applyFill="1" applyBorder="1" applyAlignment="1">
      <alignment horizontal="right"/>
    </xf>
    <xf numFmtId="0" fontId="21" fillId="46" borderId="14" xfId="0" applyFont="1" applyFill="1" applyBorder="1" applyAlignment="1">
      <alignment/>
    </xf>
    <xf numFmtId="0" fontId="21" fillId="46" borderId="32" xfId="0" applyFont="1" applyFill="1" applyBorder="1" applyAlignment="1">
      <alignment horizontal="left" wrapText="1"/>
    </xf>
    <xf numFmtId="0" fontId="21" fillId="46" borderId="33" xfId="0" applyFont="1" applyFill="1" applyBorder="1" applyAlignment="1">
      <alignment horizontal="left" wrapText="1"/>
    </xf>
    <xf numFmtId="3" fontId="37" fillId="46" borderId="21" xfId="0" applyNumberFormat="1" applyFont="1" applyFill="1" applyBorder="1" applyAlignment="1">
      <alignment/>
    </xf>
    <xf numFmtId="0" fontId="21" fillId="46" borderId="21" xfId="232" applyFont="1" applyFill="1" applyBorder="1" applyAlignment="1">
      <alignment horizontal="right" wrapText="1"/>
      <protection/>
    </xf>
    <xf numFmtId="0" fontId="21" fillId="46" borderId="11" xfId="232" applyFont="1" applyFill="1" applyBorder="1" applyAlignment="1">
      <alignment horizontal="left" wrapText="1"/>
      <protection/>
    </xf>
    <xf numFmtId="0" fontId="21" fillId="46" borderId="11" xfId="0" applyFont="1" applyFill="1" applyBorder="1" applyAlignment="1">
      <alignment horizontal="left" wrapText="1"/>
    </xf>
    <xf numFmtId="0" fontId="21" fillId="46" borderId="21" xfId="0" applyFont="1" applyFill="1" applyBorder="1" applyAlignment="1">
      <alignment horizontal="left" wrapText="1"/>
    </xf>
    <xf numFmtId="0" fontId="23" fillId="46" borderId="21" xfId="0" applyFont="1" applyFill="1" applyBorder="1" applyAlignment="1">
      <alignment horizontal="left" wrapText="1"/>
    </xf>
    <xf numFmtId="0" fontId="21" fillId="46" borderId="12" xfId="0" applyFont="1" applyFill="1" applyBorder="1" applyAlignment="1">
      <alignment/>
    </xf>
    <xf numFmtId="0" fontId="23" fillId="46" borderId="10" xfId="0" applyFont="1" applyFill="1" applyBorder="1" applyAlignment="1">
      <alignment horizontal="left" wrapText="1"/>
    </xf>
    <xf numFmtId="0" fontId="21" fillId="46" borderId="24" xfId="0" applyFont="1" applyFill="1" applyBorder="1" applyAlignment="1">
      <alignment horizontal="left" wrapText="1"/>
    </xf>
    <xf numFmtId="0" fontId="21" fillId="46" borderId="25" xfId="0" applyFont="1" applyFill="1" applyBorder="1" applyAlignment="1">
      <alignment horizontal="right" wrapText="1"/>
    </xf>
    <xf numFmtId="0" fontId="21" fillId="46" borderId="13" xfId="0" applyFont="1" applyFill="1" applyBorder="1" applyAlignment="1">
      <alignment horizontal="right" wrapText="1"/>
    </xf>
    <xf numFmtId="164" fontId="21" fillId="46" borderId="10" xfId="0" applyNumberFormat="1" applyFont="1" applyFill="1" applyBorder="1" applyAlignment="1">
      <alignment/>
    </xf>
    <xf numFmtId="164" fontId="21" fillId="46" borderId="21" xfId="0" applyNumberFormat="1" applyFont="1" applyFill="1" applyBorder="1" applyAlignment="1">
      <alignment/>
    </xf>
    <xf numFmtId="49" fontId="21" fillId="46" borderId="31" xfId="0" applyNumberFormat="1" applyFont="1" applyFill="1" applyBorder="1" applyAlignment="1">
      <alignment horizontal="right"/>
    </xf>
    <xf numFmtId="0" fontId="21" fillId="46" borderId="33" xfId="0" applyFont="1" applyFill="1" applyBorder="1" applyAlignment="1">
      <alignment horizontal="right" wrapText="1"/>
    </xf>
    <xf numFmtId="164" fontId="21" fillId="46" borderId="33" xfId="0" applyNumberFormat="1" applyFont="1" applyFill="1" applyBorder="1" applyAlignment="1">
      <alignment/>
    </xf>
    <xf numFmtId="0" fontId="21" fillId="46" borderId="33" xfId="0" applyFont="1" applyFill="1" applyBorder="1" applyAlignment="1">
      <alignment/>
    </xf>
    <xf numFmtId="0" fontId="21" fillId="46" borderId="32" xfId="0" applyFont="1" applyFill="1" applyBorder="1" applyAlignment="1">
      <alignment wrapText="1"/>
    </xf>
    <xf numFmtId="0" fontId="21" fillId="46" borderId="33" xfId="0" applyFont="1" applyFill="1" applyBorder="1" applyAlignment="1">
      <alignment wrapText="1"/>
    </xf>
    <xf numFmtId="1" fontId="21" fillId="46" borderId="33" xfId="0" applyNumberFormat="1" applyFont="1" applyFill="1" applyBorder="1" applyAlignment="1">
      <alignment/>
    </xf>
    <xf numFmtId="0" fontId="21" fillId="46" borderId="25" xfId="0" applyFont="1" applyFill="1" applyBorder="1" applyAlignment="1">
      <alignment/>
    </xf>
    <xf numFmtId="3" fontId="38" fillId="46" borderId="10" xfId="0" applyNumberFormat="1" applyFont="1" applyFill="1" applyBorder="1" applyAlignment="1">
      <alignment/>
    </xf>
    <xf numFmtId="1" fontId="21" fillId="46" borderId="10" xfId="0" applyNumberFormat="1" applyFont="1" applyFill="1" applyBorder="1" applyAlignment="1">
      <alignment/>
    </xf>
    <xf numFmtId="0" fontId="21" fillId="46" borderId="24" xfId="0" applyFont="1" applyFill="1" applyBorder="1" applyAlignment="1">
      <alignment/>
    </xf>
    <xf numFmtId="0" fontId="21" fillId="46" borderId="25" xfId="0" applyFont="1" applyFill="1" applyBorder="1" applyAlignment="1">
      <alignment horizontal="left" wrapText="1"/>
    </xf>
    <xf numFmtId="0" fontId="21" fillId="46" borderId="13" xfId="0" applyFont="1" applyFill="1" applyBorder="1" applyAlignment="1">
      <alignment horizontal="center" wrapText="1"/>
    </xf>
    <xf numFmtId="0" fontId="21" fillId="46" borderId="10" xfId="0" applyFont="1" applyFill="1" applyBorder="1" applyAlignment="1">
      <alignment horizontal="center" wrapText="1"/>
    </xf>
    <xf numFmtId="0" fontId="21" fillId="46" borderId="27" xfId="0" applyFont="1" applyFill="1" applyBorder="1" applyAlignment="1">
      <alignment horizontal="left" wrapText="1"/>
    </xf>
    <xf numFmtId="0" fontId="21" fillId="46" borderId="28" xfId="0" applyFont="1" applyFill="1" applyBorder="1" applyAlignment="1">
      <alignment horizontal="left" wrapText="1"/>
    </xf>
    <xf numFmtId="0" fontId="23" fillId="46" borderId="27" xfId="0" applyFont="1" applyFill="1" applyBorder="1" applyAlignment="1">
      <alignment horizontal="left" wrapText="1"/>
    </xf>
    <xf numFmtId="0" fontId="23" fillId="46" borderId="10" xfId="0" applyFont="1" applyFill="1" applyBorder="1" applyAlignment="1">
      <alignment wrapText="1"/>
    </xf>
    <xf numFmtId="49" fontId="23" fillId="46" borderId="45" xfId="0" applyNumberFormat="1" applyFont="1" applyFill="1" applyBorder="1" applyAlignment="1">
      <alignment horizontal="right"/>
    </xf>
    <xf numFmtId="3" fontId="23" fillId="46" borderId="32" xfId="0" applyNumberFormat="1" applyFont="1" applyFill="1" applyBorder="1" applyAlignment="1">
      <alignment/>
    </xf>
    <xf numFmtId="164" fontId="21" fillId="46" borderId="32" xfId="0" applyNumberFormat="1" applyFont="1" applyFill="1" applyBorder="1" applyAlignment="1">
      <alignment/>
    </xf>
    <xf numFmtId="49" fontId="23" fillId="46" borderId="46" xfId="0" applyNumberFormat="1" applyFont="1" applyFill="1" applyBorder="1" applyAlignment="1">
      <alignment horizontal="left"/>
    </xf>
    <xf numFmtId="2" fontId="21" fillId="46" borderId="13" xfId="0" applyNumberFormat="1" applyFont="1" applyFill="1" applyBorder="1" applyAlignment="1">
      <alignment wrapText="1"/>
    </xf>
    <xf numFmtId="2" fontId="21" fillId="46" borderId="10" xfId="0" applyNumberFormat="1" applyFont="1" applyFill="1" applyBorder="1" applyAlignment="1">
      <alignment wrapText="1"/>
    </xf>
    <xf numFmtId="2" fontId="23" fillId="46" borderId="13" xfId="0" applyNumberFormat="1" applyFont="1" applyFill="1" applyBorder="1" applyAlignment="1">
      <alignment wrapText="1"/>
    </xf>
    <xf numFmtId="2" fontId="23" fillId="46" borderId="10" xfId="0" applyNumberFormat="1" applyFont="1" applyFill="1" applyBorder="1" applyAlignment="1">
      <alignment wrapText="1"/>
    </xf>
    <xf numFmtId="0" fontId="23" fillId="46" borderId="10" xfId="0" applyFont="1" applyFill="1" applyBorder="1" applyAlignment="1">
      <alignment/>
    </xf>
    <xf numFmtId="49" fontId="23" fillId="46" borderId="47" xfId="0" applyNumberFormat="1" applyFont="1" applyFill="1" applyBorder="1" applyAlignment="1">
      <alignment horizontal="right"/>
    </xf>
    <xf numFmtId="0" fontId="23" fillId="46" borderId="48" xfId="0" applyFont="1" applyFill="1" applyBorder="1" applyAlignment="1">
      <alignment wrapText="1"/>
    </xf>
    <xf numFmtId="3" fontId="23" fillId="46" borderId="49" xfId="0" applyNumberFormat="1" applyFont="1" applyFill="1" applyBorder="1" applyAlignment="1">
      <alignment/>
    </xf>
    <xf numFmtId="3" fontId="23" fillId="46" borderId="50" xfId="0" applyNumberFormat="1" applyFont="1" applyFill="1" applyBorder="1" applyAlignment="1">
      <alignment/>
    </xf>
    <xf numFmtId="0" fontId="21" fillId="46" borderId="13" xfId="0" applyFont="1" applyFill="1" applyBorder="1" applyAlignment="1">
      <alignment horizontal="left" wrapText="1"/>
    </xf>
    <xf numFmtId="0" fontId="21" fillId="46" borderId="10" xfId="0" applyFont="1" applyFill="1" applyBorder="1" applyAlignment="1">
      <alignment horizontal="right" wrapText="1"/>
    </xf>
    <xf numFmtId="0" fontId="21" fillId="46" borderId="10" xfId="232" applyFont="1" applyFill="1" applyBorder="1" applyAlignment="1">
      <alignment horizontal="left" wrapText="1"/>
      <protection/>
    </xf>
    <xf numFmtId="0" fontId="21" fillId="46" borderId="10" xfId="232" applyFont="1" applyFill="1" applyBorder="1" applyAlignment="1">
      <alignment horizontal="right" wrapText="1"/>
      <protection/>
    </xf>
    <xf numFmtId="0" fontId="21" fillId="46" borderId="28" xfId="232" applyFont="1" applyFill="1" applyBorder="1" applyAlignment="1">
      <alignment horizontal="right" wrapText="1"/>
      <protection/>
    </xf>
    <xf numFmtId="49" fontId="21" fillId="46" borderId="13" xfId="0" applyNumberFormat="1" applyFont="1" applyFill="1" applyBorder="1" applyAlignment="1">
      <alignment horizontal="right"/>
    </xf>
    <xf numFmtId="0" fontId="21" fillId="46" borderId="13" xfId="233" applyFont="1" applyFill="1" applyBorder="1" applyAlignment="1">
      <alignment horizontal="left" wrapText="1"/>
      <protection/>
    </xf>
    <xf numFmtId="0" fontId="21" fillId="46" borderId="13" xfId="233" applyFont="1" applyFill="1" applyBorder="1" applyAlignment="1">
      <alignment horizontal="right" wrapText="1"/>
      <protection/>
    </xf>
    <xf numFmtId="0" fontId="21" fillId="46" borderId="36" xfId="232" applyFont="1" applyFill="1" applyBorder="1" applyAlignment="1">
      <alignment horizontal="left" wrapText="1"/>
      <protection/>
    </xf>
    <xf numFmtId="0" fontId="21" fillId="46" borderId="36" xfId="232" applyFont="1" applyFill="1" applyBorder="1" applyAlignment="1">
      <alignment horizontal="right" wrapText="1"/>
      <protection/>
    </xf>
    <xf numFmtId="0" fontId="23" fillId="46" borderId="30" xfId="0" applyFont="1" applyFill="1" applyBorder="1" applyAlignment="1">
      <alignment wrapText="1"/>
    </xf>
    <xf numFmtId="1" fontId="23" fillId="46" borderId="12" xfId="0" applyNumberFormat="1" applyFont="1" applyFill="1" applyBorder="1" applyAlignment="1">
      <alignment/>
    </xf>
    <xf numFmtId="164" fontId="23" fillId="46" borderId="12" xfId="0" applyNumberFormat="1" applyFont="1" applyFill="1" applyBorder="1" applyAlignment="1">
      <alignment/>
    </xf>
    <xf numFmtId="0" fontId="23" fillId="46" borderId="12" xfId="0" applyFont="1" applyFill="1" applyBorder="1" applyAlignment="1">
      <alignment/>
    </xf>
    <xf numFmtId="0" fontId="23" fillId="46" borderId="51" xfId="0" applyFont="1" applyFill="1" applyBorder="1" applyAlignment="1">
      <alignment/>
    </xf>
    <xf numFmtId="3" fontId="23" fillId="46" borderId="52" xfId="0" applyNumberFormat="1" applyFont="1" applyFill="1" applyBorder="1" applyAlignment="1">
      <alignment/>
    </xf>
    <xf numFmtId="0" fontId="21" fillId="46" borderId="32" xfId="232" applyFont="1" applyFill="1" applyBorder="1" applyAlignment="1">
      <alignment horizontal="left" wrapText="1"/>
      <protection/>
    </xf>
    <xf numFmtId="0" fontId="21" fillId="46" borderId="33" xfId="232" applyFont="1" applyFill="1" applyBorder="1" applyAlignment="1">
      <alignment horizontal="right" wrapText="1"/>
      <protection/>
    </xf>
    <xf numFmtId="0" fontId="21" fillId="46" borderId="16" xfId="0" applyFont="1" applyFill="1" applyBorder="1" applyAlignment="1">
      <alignment/>
    </xf>
    <xf numFmtId="3" fontId="23" fillId="46" borderId="17" xfId="0" applyNumberFormat="1" applyFont="1" applyFill="1" applyBorder="1" applyAlignment="1">
      <alignment wrapText="1"/>
    </xf>
    <xf numFmtId="3" fontId="23" fillId="46" borderId="0" xfId="0" applyNumberFormat="1" applyFont="1" applyFill="1" applyAlignment="1">
      <alignment/>
    </xf>
    <xf numFmtId="0" fontId="23" fillId="46" borderId="0" xfId="0" applyFont="1" applyFill="1" applyBorder="1" applyAlignment="1">
      <alignment horizontal="left" wrapText="1"/>
    </xf>
    <xf numFmtId="3" fontId="21" fillId="46" borderId="0" xfId="0" applyNumberFormat="1" applyFont="1" applyFill="1" applyBorder="1" applyAlignment="1">
      <alignment/>
    </xf>
    <xf numFmtId="0" fontId="21" fillId="46" borderId="0" xfId="0" applyFont="1" applyFill="1" applyBorder="1" applyAlignment="1" applyProtection="1">
      <alignment/>
      <protection/>
    </xf>
    <xf numFmtId="0" fontId="21" fillId="46" borderId="0" xfId="0" applyFont="1" applyFill="1" applyBorder="1" applyAlignment="1">
      <alignment wrapText="1"/>
    </xf>
    <xf numFmtId="49" fontId="21" fillId="46" borderId="0" xfId="0" applyNumberFormat="1" applyFont="1" applyFill="1" applyAlignment="1">
      <alignment horizontal="center" wrapText="1"/>
    </xf>
    <xf numFmtId="0" fontId="21" fillId="46" borderId="0" xfId="231" applyFont="1" applyFill="1" applyBorder="1" applyAlignment="1">
      <alignment horizontal="left" wrapText="1"/>
      <protection/>
    </xf>
    <xf numFmtId="0" fontId="26" fillId="46" borderId="0" xfId="0" applyFont="1" applyFill="1" applyBorder="1" applyAlignment="1">
      <alignment horizontal="right" wrapText="1"/>
    </xf>
    <xf numFmtId="4" fontId="23" fillId="46" borderId="0" xfId="0" applyNumberFormat="1" applyFont="1" applyFill="1" applyBorder="1" applyAlignment="1">
      <alignment/>
    </xf>
    <xf numFmtId="3" fontId="27" fillId="46" borderId="0" xfId="0" applyNumberFormat="1" applyFont="1" applyFill="1" applyBorder="1" applyAlignment="1">
      <alignment/>
    </xf>
    <xf numFmtId="0" fontId="28" fillId="46" borderId="0" xfId="0" applyFont="1" applyFill="1" applyBorder="1" applyAlignment="1">
      <alignment horizontal="right" wrapText="1"/>
    </xf>
    <xf numFmtId="0" fontId="28" fillId="46" borderId="0" xfId="0" applyFont="1" applyFill="1" applyAlignment="1">
      <alignment/>
    </xf>
    <xf numFmtId="0" fontId="28" fillId="46" borderId="0" xfId="0" applyFont="1" applyFill="1" applyBorder="1" applyAlignment="1">
      <alignment horizontal="left" wrapText="1"/>
    </xf>
    <xf numFmtId="3" fontId="29" fillId="46" borderId="0" xfId="0" applyNumberFormat="1" applyFont="1" applyFill="1" applyBorder="1" applyAlignment="1">
      <alignment/>
    </xf>
    <xf numFmtId="4" fontId="29" fillId="46" borderId="0" xfId="0" applyNumberFormat="1" applyFont="1" applyFill="1" applyBorder="1" applyAlignment="1">
      <alignment/>
    </xf>
    <xf numFmtId="3" fontId="27" fillId="46" borderId="0" xfId="0" applyNumberFormat="1" applyFont="1" applyFill="1" applyAlignment="1">
      <alignment/>
    </xf>
    <xf numFmtId="3" fontId="25" fillId="46" borderId="0" xfId="0" applyNumberFormat="1" applyFont="1" applyFill="1" applyBorder="1" applyAlignment="1">
      <alignment/>
    </xf>
    <xf numFmtId="0" fontId="23" fillId="46" borderId="34" xfId="0" applyFont="1" applyFill="1" applyBorder="1" applyAlignment="1">
      <alignment horizontal="left"/>
    </xf>
    <xf numFmtId="3" fontId="21" fillId="46" borderId="12" xfId="0" applyNumberFormat="1" applyFont="1" applyFill="1" applyBorder="1" applyAlignment="1">
      <alignment wrapText="1"/>
    </xf>
    <xf numFmtId="3" fontId="25" fillId="46" borderId="39" xfId="0" applyNumberFormat="1" applyFont="1" applyFill="1" applyBorder="1" applyAlignment="1">
      <alignment/>
    </xf>
    <xf numFmtId="3" fontId="25" fillId="46" borderId="12" xfId="0" applyNumberFormat="1" applyFont="1" applyFill="1" applyBorder="1" applyAlignment="1">
      <alignment/>
    </xf>
    <xf numFmtId="3" fontId="21" fillId="46" borderId="51" xfId="0" applyNumberFormat="1" applyFont="1" applyFill="1" applyBorder="1" applyAlignment="1">
      <alignment/>
    </xf>
    <xf numFmtId="3" fontId="21" fillId="46" borderId="13" xfId="0" applyNumberFormat="1" applyFont="1" applyFill="1" applyBorder="1" applyAlignment="1">
      <alignment wrapText="1"/>
    </xf>
    <xf numFmtId="3" fontId="25" fillId="46" borderId="24" xfId="0" applyNumberFormat="1" applyFont="1" applyFill="1" applyBorder="1" applyAlignment="1">
      <alignment/>
    </xf>
    <xf numFmtId="3" fontId="25" fillId="46" borderId="13" xfId="0" applyNumberFormat="1" applyFont="1" applyFill="1" applyBorder="1" applyAlignment="1">
      <alignment/>
    </xf>
    <xf numFmtId="0" fontId="21" fillId="46" borderId="36" xfId="0" applyFont="1" applyFill="1" applyBorder="1" applyAlignment="1">
      <alignment wrapText="1"/>
    </xf>
    <xf numFmtId="3" fontId="21" fillId="46" borderId="35" xfId="0" applyNumberFormat="1" applyFont="1" applyFill="1" applyBorder="1" applyAlignment="1">
      <alignment wrapText="1"/>
    </xf>
    <xf numFmtId="3" fontId="25" fillId="46" borderId="35" xfId="0" applyNumberFormat="1" applyFont="1" applyFill="1" applyBorder="1" applyAlignment="1">
      <alignment/>
    </xf>
    <xf numFmtId="0" fontId="23" fillId="46" borderId="15" xfId="0" applyFont="1" applyFill="1" applyBorder="1" applyAlignment="1">
      <alignment horizontal="right"/>
    </xf>
    <xf numFmtId="3" fontId="23" fillId="46" borderId="46" xfId="0" applyNumberFormat="1" applyFont="1" applyFill="1" applyBorder="1" applyAlignment="1">
      <alignment/>
    </xf>
    <xf numFmtId="3" fontId="21" fillId="46" borderId="0" xfId="0" applyNumberFormat="1" applyFont="1" applyFill="1" applyBorder="1" applyAlignment="1">
      <alignment horizontal="right" wrapText="1"/>
    </xf>
    <xf numFmtId="3" fontId="21" fillId="46" borderId="0" xfId="0" applyNumberFormat="1" applyFont="1" applyFill="1" applyAlignment="1">
      <alignment horizontal="right" wrapText="1"/>
    </xf>
    <xf numFmtId="3" fontId="38" fillId="46" borderId="0" xfId="0" applyNumberFormat="1" applyFont="1" applyFill="1" applyAlignment="1">
      <alignment/>
    </xf>
    <xf numFmtId="0" fontId="21" fillId="0" borderId="0" xfId="230" applyFont="1" applyFill="1">
      <alignment/>
      <protection/>
    </xf>
    <xf numFmtId="3" fontId="21" fillId="0" borderId="0" xfId="230" applyNumberFormat="1" applyFont="1" applyFill="1" applyAlignment="1">
      <alignment wrapText="1"/>
      <protection/>
    </xf>
    <xf numFmtId="0" fontId="21" fillId="0" borderId="0" xfId="238" applyFont="1" applyFill="1" applyAlignment="1">
      <alignment horizontal="left"/>
      <protection/>
    </xf>
    <xf numFmtId="0" fontId="23" fillId="0" borderId="0" xfId="230" applyFont="1" applyFill="1">
      <alignment/>
      <protection/>
    </xf>
    <xf numFmtId="0" fontId="21" fillId="0" borderId="0" xfId="230" applyFont="1" applyFill="1" applyAlignment="1">
      <alignment horizontal="left"/>
      <protection/>
    </xf>
    <xf numFmtId="0" fontId="24" fillId="0" borderId="0" xfId="230" applyFont="1" applyFill="1" applyAlignment="1">
      <alignment/>
      <protection/>
    </xf>
    <xf numFmtId="0" fontId="26" fillId="0" borderId="0" xfId="230" applyFont="1" applyFill="1">
      <alignment/>
      <protection/>
    </xf>
    <xf numFmtId="0" fontId="21" fillId="0" borderId="0" xfId="230" applyFont="1" applyFill="1" applyAlignment="1">
      <alignment horizontal="left" wrapText="1"/>
      <protection/>
    </xf>
    <xf numFmtId="0" fontId="20" fillId="0" borderId="16" xfId="230" applyFont="1" applyFill="1" applyBorder="1" applyAlignment="1">
      <alignment horizontal="center" vertical="center"/>
      <protection/>
    </xf>
    <xf numFmtId="0" fontId="20" fillId="0" borderId="17" xfId="230" applyFont="1" applyFill="1" applyBorder="1" applyAlignment="1" applyProtection="1">
      <alignment horizontal="center" vertical="center" wrapText="1"/>
      <protection/>
    </xf>
    <xf numFmtId="3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234" applyFont="1" applyFill="1" applyBorder="1" applyAlignment="1">
      <alignment horizontal="center" vertical="center" wrapText="1"/>
      <protection/>
    </xf>
    <xf numFmtId="0" fontId="21" fillId="0" borderId="17" xfId="235" applyFont="1" applyFill="1" applyBorder="1" applyAlignment="1">
      <alignment vertical="center" wrapText="1"/>
      <protection/>
    </xf>
    <xf numFmtId="0" fontId="21" fillId="0" borderId="15" xfId="235" applyFont="1" applyFill="1" applyBorder="1" applyAlignment="1">
      <alignment vertical="center" wrapText="1"/>
      <protection/>
    </xf>
    <xf numFmtId="0" fontId="23" fillId="0" borderId="19" xfId="230" applyFont="1" applyFill="1" applyBorder="1" applyAlignment="1" applyProtection="1">
      <alignment horizontal="center" vertical="center" wrapText="1"/>
      <protection/>
    </xf>
    <xf numFmtId="3" fontId="23" fillId="0" borderId="20" xfId="230" applyNumberFormat="1" applyFont="1" applyFill="1" applyBorder="1" applyAlignment="1">
      <alignment horizontal="right"/>
      <protection/>
    </xf>
    <xf numFmtId="3" fontId="23" fillId="0" borderId="11" xfId="230" applyNumberFormat="1" applyFont="1" applyFill="1" applyBorder="1" applyAlignment="1">
      <alignment wrapText="1"/>
      <protection/>
    </xf>
    <xf numFmtId="3" fontId="23" fillId="0" borderId="11" xfId="230" applyNumberFormat="1" applyFont="1" applyFill="1" applyBorder="1">
      <alignment/>
      <protection/>
    </xf>
    <xf numFmtId="3" fontId="23" fillId="0" borderId="22" xfId="230" applyNumberFormat="1" applyFont="1" applyFill="1" applyBorder="1">
      <alignment/>
      <protection/>
    </xf>
    <xf numFmtId="164" fontId="21" fillId="0" borderId="0" xfId="230" applyNumberFormat="1" applyFont="1" applyFill="1">
      <alignment/>
      <protection/>
    </xf>
    <xf numFmtId="3" fontId="21" fillId="0" borderId="23" xfId="230" applyNumberFormat="1" applyFont="1" applyFill="1" applyBorder="1" applyAlignment="1">
      <alignment horizontal="left"/>
      <protection/>
    </xf>
    <xf numFmtId="3" fontId="21" fillId="0" borderId="13" xfId="230" applyNumberFormat="1" applyFont="1" applyFill="1" applyBorder="1" applyAlignment="1">
      <alignment wrapText="1"/>
      <protection/>
    </xf>
    <xf numFmtId="3" fontId="21" fillId="0" borderId="13" xfId="230" applyNumberFormat="1" applyFont="1" applyFill="1" applyBorder="1">
      <alignment/>
      <protection/>
    </xf>
    <xf numFmtId="3" fontId="21" fillId="0" borderId="22" xfId="230" applyNumberFormat="1" applyFont="1" applyFill="1" applyBorder="1">
      <alignment/>
      <protection/>
    </xf>
    <xf numFmtId="3" fontId="23" fillId="0" borderId="23" xfId="230" applyNumberFormat="1" applyFont="1" applyFill="1" applyBorder="1" applyAlignment="1">
      <alignment horizontal="right"/>
      <protection/>
    </xf>
    <xf numFmtId="3" fontId="23" fillId="0" borderId="13" xfId="230" applyNumberFormat="1" applyFont="1" applyFill="1" applyBorder="1" applyAlignment="1">
      <alignment wrapText="1"/>
      <protection/>
    </xf>
    <xf numFmtId="3" fontId="23" fillId="0" borderId="13" xfId="230" applyNumberFormat="1" applyFont="1" applyFill="1" applyBorder="1">
      <alignment/>
      <protection/>
    </xf>
    <xf numFmtId="3" fontId="23" fillId="0" borderId="10" xfId="230" applyNumberFormat="1" applyFont="1" applyFill="1" applyBorder="1">
      <alignment/>
      <protection/>
    </xf>
    <xf numFmtId="3" fontId="21" fillId="0" borderId="24" xfId="230" applyNumberFormat="1" applyFont="1" applyFill="1" applyBorder="1">
      <alignment/>
      <protection/>
    </xf>
    <xf numFmtId="3" fontId="21" fillId="0" borderId="10" xfId="230" applyNumberFormat="1" applyFont="1" applyFill="1" applyBorder="1">
      <alignment/>
      <protection/>
    </xf>
    <xf numFmtId="3" fontId="23" fillId="0" borderId="23" xfId="230" applyNumberFormat="1" applyFont="1" applyFill="1" applyBorder="1" applyAlignment="1">
      <alignment horizontal="left"/>
      <protection/>
    </xf>
    <xf numFmtId="3" fontId="23" fillId="0" borderId="25" xfId="230" applyNumberFormat="1" applyFont="1" applyFill="1" applyBorder="1">
      <alignment/>
      <protection/>
    </xf>
    <xf numFmtId="3" fontId="23" fillId="0" borderId="13" xfId="0" applyNumberFormat="1" applyFont="1" applyFill="1" applyBorder="1" applyAlignment="1">
      <alignment wrapText="1"/>
    </xf>
    <xf numFmtId="3" fontId="21" fillId="0" borderId="23" xfId="230" applyNumberFormat="1" applyFont="1" applyFill="1" applyBorder="1" applyAlignment="1">
      <alignment horizontal="right"/>
      <protection/>
    </xf>
    <xf numFmtId="3" fontId="23" fillId="0" borderId="24" xfId="230" applyNumberFormat="1" applyFont="1" applyFill="1" applyBorder="1">
      <alignment/>
      <protection/>
    </xf>
    <xf numFmtId="3" fontId="21" fillId="0" borderId="26" xfId="230" applyNumberFormat="1" applyFont="1" applyFill="1" applyBorder="1" applyAlignment="1">
      <alignment horizontal="right"/>
      <protection/>
    </xf>
    <xf numFmtId="3" fontId="21" fillId="0" borderId="27" xfId="230" applyNumberFormat="1" applyFont="1" applyFill="1" applyBorder="1" applyAlignment="1">
      <alignment wrapText="1"/>
      <protection/>
    </xf>
    <xf numFmtId="3" fontId="21" fillId="0" borderId="27" xfId="230" applyNumberFormat="1" applyFont="1" applyFill="1" applyBorder="1">
      <alignment/>
      <protection/>
    </xf>
    <xf numFmtId="3" fontId="21" fillId="0" borderId="53" xfId="230" applyNumberFormat="1" applyFont="1" applyFill="1" applyBorder="1">
      <alignment/>
      <protection/>
    </xf>
    <xf numFmtId="3" fontId="21" fillId="0" borderId="28" xfId="230" applyNumberFormat="1" applyFont="1" applyFill="1" applyBorder="1">
      <alignment/>
      <protection/>
    </xf>
    <xf numFmtId="3" fontId="21" fillId="0" borderId="29" xfId="230" applyNumberFormat="1" applyFont="1" applyFill="1" applyBorder="1">
      <alignment/>
      <protection/>
    </xf>
    <xf numFmtId="3" fontId="21" fillId="0" borderId="16" xfId="230" applyNumberFormat="1" applyFont="1" applyFill="1" applyBorder="1" applyAlignment="1">
      <alignment horizontal="right"/>
      <protection/>
    </xf>
    <xf numFmtId="3" fontId="23" fillId="0" borderId="17" xfId="230" applyNumberFormat="1" applyFont="1" applyFill="1" applyBorder="1" applyAlignment="1">
      <alignment horizontal="right" wrapText="1"/>
      <protection/>
    </xf>
    <xf numFmtId="3" fontId="23" fillId="0" borderId="17" xfId="230" applyNumberFormat="1" applyFont="1" applyFill="1" applyBorder="1" applyAlignment="1">
      <alignment horizontal="center"/>
      <protection/>
    </xf>
    <xf numFmtId="3" fontId="23" fillId="0" borderId="19" xfId="230" applyNumberFormat="1" applyFont="1" applyFill="1" applyBorder="1">
      <alignment/>
      <protection/>
    </xf>
    <xf numFmtId="3" fontId="21" fillId="0" borderId="11" xfId="230" applyNumberFormat="1" applyFont="1" applyFill="1" applyBorder="1" applyProtection="1">
      <alignment/>
      <protection/>
    </xf>
    <xf numFmtId="3" fontId="21" fillId="0" borderId="11" xfId="230" applyNumberFormat="1" applyFont="1" applyFill="1" applyBorder="1" applyAlignment="1" applyProtection="1">
      <alignment horizontal="left" wrapText="1"/>
      <protection/>
    </xf>
    <xf numFmtId="3" fontId="21" fillId="0" borderId="11" xfId="230" applyNumberFormat="1" applyFont="1" applyFill="1" applyBorder="1" applyAlignment="1" applyProtection="1">
      <alignment horizontal="center"/>
      <protection/>
    </xf>
    <xf numFmtId="3" fontId="23" fillId="0" borderId="13" xfId="230" applyNumberFormat="1" applyFont="1" applyFill="1" applyBorder="1" applyProtection="1">
      <alignment/>
      <protection/>
    </xf>
    <xf numFmtId="3" fontId="21" fillId="0" borderId="13" xfId="230" applyNumberFormat="1" applyFont="1" applyFill="1" applyBorder="1" applyAlignment="1" applyProtection="1">
      <alignment horizontal="left" wrapText="1"/>
      <protection/>
    </xf>
    <xf numFmtId="3" fontId="23" fillId="0" borderId="13" xfId="230" applyNumberFormat="1" applyFont="1" applyFill="1" applyBorder="1" applyAlignment="1" applyProtection="1">
      <alignment horizontal="center"/>
      <protection/>
    </xf>
    <xf numFmtId="3" fontId="21" fillId="0" borderId="0" xfId="230" applyNumberFormat="1" applyFont="1" applyFill="1">
      <alignment/>
      <protection/>
    </xf>
    <xf numFmtId="3" fontId="25" fillId="0" borderId="0" xfId="236" applyNumberFormat="1" applyFont="1">
      <alignment/>
      <protection/>
    </xf>
    <xf numFmtId="3" fontId="23" fillId="0" borderId="0" xfId="230" applyNumberFormat="1" applyFont="1" applyFill="1">
      <alignment/>
      <protection/>
    </xf>
    <xf numFmtId="3" fontId="20" fillId="0" borderId="0" xfId="230" applyNumberFormat="1" applyFont="1" applyFill="1">
      <alignment/>
      <protection/>
    </xf>
    <xf numFmtId="3" fontId="20" fillId="0" borderId="0" xfId="0" applyNumberFormat="1" applyFont="1" applyFill="1" applyAlignment="1">
      <alignment wrapText="1"/>
    </xf>
    <xf numFmtId="3" fontId="20" fillId="0" borderId="0" xfId="236" applyNumberFormat="1" applyFont="1">
      <alignment/>
      <protection/>
    </xf>
    <xf numFmtId="3" fontId="22" fillId="0" borderId="0" xfId="230" applyNumberFormat="1" applyFont="1" applyFill="1">
      <alignment/>
      <protection/>
    </xf>
    <xf numFmtId="0" fontId="20" fillId="0" borderId="0" xfId="230" applyFont="1" applyFill="1">
      <alignment/>
      <protection/>
    </xf>
    <xf numFmtId="3" fontId="20" fillId="0" borderId="16" xfId="230" applyNumberFormat="1" applyFont="1" applyFill="1" applyBorder="1" applyAlignment="1">
      <alignment horizontal="center" vertical="center"/>
      <protection/>
    </xf>
    <xf numFmtId="3" fontId="20" fillId="0" borderId="17" xfId="230" applyNumberFormat="1" applyFont="1" applyFill="1" applyBorder="1" applyAlignment="1" applyProtection="1">
      <alignment horizontal="center" vertical="center" wrapText="1"/>
      <protection/>
    </xf>
    <xf numFmtId="3" fontId="21" fillId="0" borderId="18" xfId="234" applyNumberFormat="1" applyFont="1" applyFill="1" applyBorder="1" applyAlignment="1">
      <alignment horizontal="center" vertical="center" wrapText="1"/>
      <protection/>
    </xf>
    <xf numFmtId="3" fontId="21" fillId="0" borderId="17" xfId="235" applyNumberFormat="1" applyFont="1" applyFill="1" applyBorder="1" applyAlignment="1">
      <alignment vertical="center" wrapText="1"/>
      <protection/>
    </xf>
    <xf numFmtId="3" fontId="21" fillId="0" borderId="15" xfId="235" applyNumberFormat="1" applyFont="1" applyFill="1" applyBorder="1" applyAlignment="1">
      <alignment vertical="center" wrapText="1"/>
      <protection/>
    </xf>
    <xf numFmtId="3" fontId="23" fillId="0" borderId="19" xfId="230" applyNumberFormat="1" applyFont="1" applyFill="1" applyBorder="1" applyAlignment="1" applyProtection="1">
      <alignment horizontal="center" vertical="center" wrapText="1"/>
      <protection/>
    </xf>
    <xf numFmtId="3" fontId="23" fillId="0" borderId="16" xfId="230" applyNumberFormat="1" applyFont="1" applyFill="1" applyBorder="1" applyAlignment="1">
      <alignment horizontal="left"/>
      <protection/>
    </xf>
    <xf numFmtId="3" fontId="23" fillId="0" borderId="17" xfId="230" applyNumberFormat="1" applyFont="1" applyFill="1" applyBorder="1" applyAlignment="1">
      <alignment wrapText="1"/>
      <protection/>
    </xf>
    <xf numFmtId="3" fontId="23" fillId="0" borderId="15" xfId="230" applyNumberFormat="1" applyFont="1" applyFill="1" applyBorder="1">
      <alignment/>
      <protection/>
    </xf>
    <xf numFmtId="3" fontId="21" fillId="0" borderId="54" xfId="230" applyNumberFormat="1" applyFont="1" applyFill="1" applyBorder="1" applyAlignment="1">
      <alignment horizontal="right"/>
      <protection/>
    </xf>
    <xf numFmtId="3" fontId="21" fillId="0" borderId="55" xfId="230" applyNumberFormat="1" applyFont="1" applyFill="1" applyBorder="1">
      <alignment/>
      <protection/>
    </xf>
    <xf numFmtId="3" fontId="21" fillId="0" borderId="56" xfId="230" applyNumberFormat="1" applyFont="1" applyFill="1" applyBorder="1">
      <alignment/>
      <protection/>
    </xf>
    <xf numFmtId="3" fontId="21" fillId="0" borderId="57" xfId="230" applyNumberFormat="1" applyFont="1" applyFill="1" applyBorder="1">
      <alignment/>
      <protection/>
    </xf>
    <xf numFmtId="3" fontId="21" fillId="0" borderId="58" xfId="235" applyNumberFormat="1" applyFont="1" applyFill="1" applyBorder="1" applyAlignment="1">
      <alignment vertical="center" wrapText="1"/>
      <protection/>
    </xf>
    <xf numFmtId="3" fontId="21" fillId="0" borderId="44" xfId="230" applyNumberFormat="1" applyFont="1" applyFill="1" applyBorder="1">
      <alignment/>
      <protection/>
    </xf>
    <xf numFmtId="3" fontId="21" fillId="0" borderId="25" xfId="235" applyNumberFormat="1" applyFont="1" applyFill="1" applyBorder="1" applyAlignment="1">
      <alignment vertical="center" wrapText="1"/>
      <protection/>
    </xf>
    <xf numFmtId="3" fontId="21" fillId="0" borderId="42" xfId="230" applyNumberFormat="1" applyFont="1" applyFill="1" applyBorder="1">
      <alignment/>
      <protection/>
    </xf>
    <xf numFmtId="3" fontId="21" fillId="0" borderId="47" xfId="230" applyNumberFormat="1" applyFont="1" applyFill="1" applyBorder="1" applyAlignment="1">
      <alignment horizontal="right"/>
      <protection/>
    </xf>
    <xf numFmtId="3" fontId="21" fillId="0" borderId="48" xfId="230" applyNumberFormat="1" applyFont="1" applyFill="1" applyBorder="1" applyAlignment="1">
      <alignment wrapText="1"/>
      <protection/>
    </xf>
    <xf numFmtId="3" fontId="21" fillId="0" borderId="49" xfId="230" applyNumberFormat="1" applyFont="1" applyFill="1" applyBorder="1">
      <alignment/>
      <protection/>
    </xf>
    <xf numFmtId="3" fontId="21" fillId="0" borderId="48" xfId="230" applyNumberFormat="1" applyFont="1" applyFill="1" applyBorder="1">
      <alignment/>
      <protection/>
    </xf>
    <xf numFmtId="3" fontId="21" fillId="0" borderId="59" xfId="230" applyNumberFormat="1" applyFont="1" applyFill="1" applyBorder="1">
      <alignment/>
      <protection/>
    </xf>
    <xf numFmtId="3" fontId="21" fillId="0" borderId="60" xfId="235" applyNumberFormat="1" applyFont="1" applyFill="1" applyBorder="1" applyAlignment="1">
      <alignment vertical="center" wrapText="1"/>
      <protection/>
    </xf>
    <xf numFmtId="3" fontId="23" fillId="0" borderId="17" xfId="230" applyNumberFormat="1" applyFont="1" applyFill="1" applyBorder="1" applyAlignment="1">
      <alignment horizontal="left" wrapText="1"/>
      <protection/>
    </xf>
    <xf numFmtId="3" fontId="21" fillId="0" borderId="56" xfId="230" applyNumberFormat="1" applyFont="1" applyFill="1" applyBorder="1" applyAlignment="1">
      <alignment horizontal="left" wrapText="1"/>
      <protection/>
    </xf>
    <xf numFmtId="3" fontId="21" fillId="0" borderId="12" xfId="230" applyNumberFormat="1" applyFont="1" applyFill="1" applyBorder="1">
      <alignment/>
      <protection/>
    </xf>
    <xf numFmtId="3" fontId="21" fillId="0" borderId="13" xfId="230" applyNumberFormat="1" applyFont="1" applyFill="1" applyBorder="1" applyAlignment="1">
      <alignment horizontal="left" wrapText="1"/>
      <protection/>
    </xf>
    <xf numFmtId="3" fontId="21" fillId="0" borderId="48" xfId="230" applyNumberFormat="1" applyFont="1" applyFill="1" applyBorder="1" applyAlignment="1">
      <alignment horizontal="left" wrapText="1"/>
      <protection/>
    </xf>
    <xf numFmtId="3" fontId="23" fillId="0" borderId="54" xfId="230" applyNumberFormat="1" applyFont="1" applyFill="1" applyBorder="1" applyAlignment="1">
      <alignment horizontal="left"/>
      <protection/>
    </xf>
    <xf numFmtId="3" fontId="23" fillId="0" borderId="56" xfId="230" applyNumberFormat="1" applyFont="1" applyFill="1" applyBorder="1" applyAlignment="1">
      <alignment horizontal="left" wrapText="1"/>
      <protection/>
    </xf>
    <xf numFmtId="3" fontId="23" fillId="0" borderId="55" xfId="230" applyNumberFormat="1" applyFont="1" applyFill="1" applyBorder="1">
      <alignment/>
      <protection/>
    </xf>
    <xf numFmtId="3" fontId="23" fillId="0" borderId="56" xfId="230" applyNumberFormat="1" applyFont="1" applyFill="1" applyBorder="1">
      <alignment/>
      <protection/>
    </xf>
    <xf numFmtId="3" fontId="23" fillId="0" borderId="58" xfId="230" applyNumberFormat="1" applyFont="1" applyFill="1" applyBorder="1">
      <alignment/>
      <protection/>
    </xf>
    <xf numFmtId="3" fontId="23" fillId="0" borderId="44" xfId="230" applyNumberFormat="1" applyFont="1" applyFill="1" applyBorder="1">
      <alignment/>
      <protection/>
    </xf>
    <xf numFmtId="3" fontId="21" fillId="0" borderId="34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left" wrapText="1"/>
    </xf>
    <xf numFmtId="3" fontId="21" fillId="0" borderId="41" xfId="230" applyNumberFormat="1" applyFont="1" applyFill="1" applyBorder="1">
      <alignment/>
      <protection/>
    </xf>
    <xf numFmtId="3" fontId="21" fillId="0" borderId="20" xfId="0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left" wrapText="1"/>
    </xf>
    <xf numFmtId="3" fontId="21" fillId="0" borderId="36" xfId="230" applyNumberFormat="1" applyFont="1" applyFill="1" applyBorder="1">
      <alignment/>
      <protection/>
    </xf>
    <xf numFmtId="3" fontId="21" fillId="0" borderId="16" xfId="230" applyNumberFormat="1" applyFont="1" applyFill="1" applyBorder="1">
      <alignment/>
      <protection/>
    </xf>
    <xf numFmtId="3" fontId="23" fillId="0" borderId="0" xfId="236" applyNumberFormat="1" applyFont="1" applyBorder="1" applyProtection="1">
      <alignment/>
      <protection/>
    </xf>
    <xf numFmtId="3" fontId="23" fillId="0" borderId="0" xfId="236" applyNumberFormat="1" applyFont="1" applyBorder="1" applyAlignment="1">
      <alignment wrapText="1"/>
      <protection/>
    </xf>
    <xf numFmtId="3" fontId="21" fillId="0" borderId="0" xfId="230" applyNumberFormat="1" applyFont="1" applyBorder="1">
      <alignment/>
      <protection/>
    </xf>
    <xf numFmtId="3" fontId="21" fillId="0" borderId="0" xfId="230" applyNumberFormat="1" applyFont="1">
      <alignment/>
      <protection/>
    </xf>
    <xf numFmtId="3" fontId="21" fillId="0" borderId="0" xfId="230" applyNumberFormat="1" applyFont="1" applyFill="1" applyBorder="1" applyAlignment="1">
      <alignment wrapText="1"/>
      <protection/>
    </xf>
    <xf numFmtId="3" fontId="21" fillId="0" borderId="0" xfId="0" applyNumberFormat="1" applyFont="1" applyFill="1" applyAlignment="1">
      <alignment horizontal="center" wrapText="1"/>
    </xf>
    <xf numFmtId="3" fontId="21" fillId="0" borderId="0" xfId="230" applyNumberFormat="1" applyFont="1" applyFill="1" applyBorder="1" applyAlignment="1">
      <alignment horizontal="left" wrapText="1"/>
      <protection/>
    </xf>
    <xf numFmtId="3" fontId="23" fillId="0" borderId="0" xfId="230" applyNumberFormat="1" applyFont="1" applyBorder="1">
      <alignment/>
      <protection/>
    </xf>
    <xf numFmtId="3" fontId="23" fillId="0" borderId="0" xfId="230" applyNumberFormat="1" applyFont="1" applyFill="1" applyBorder="1">
      <alignment/>
      <protection/>
    </xf>
    <xf numFmtId="3" fontId="23" fillId="0" borderId="34" xfId="230" applyNumberFormat="1" applyFont="1" applyBorder="1" applyAlignment="1">
      <alignment horizontal="left"/>
      <protection/>
    </xf>
    <xf numFmtId="3" fontId="23" fillId="0" borderId="12" xfId="230" applyNumberFormat="1" applyFont="1" applyBorder="1" applyAlignment="1">
      <alignment wrapText="1"/>
      <protection/>
    </xf>
    <xf numFmtId="3" fontId="23" fillId="0" borderId="12" xfId="230" applyNumberFormat="1" applyFont="1" applyFill="1" applyBorder="1">
      <alignment/>
      <protection/>
    </xf>
    <xf numFmtId="3" fontId="23" fillId="0" borderId="30" xfId="230" applyNumberFormat="1" applyFont="1" applyFill="1" applyBorder="1">
      <alignment/>
      <protection/>
    </xf>
    <xf numFmtId="3" fontId="23" fillId="0" borderId="26" xfId="230" applyNumberFormat="1" applyFont="1" applyBorder="1" applyAlignment="1">
      <alignment horizontal="left"/>
      <protection/>
    </xf>
    <xf numFmtId="3" fontId="23" fillId="0" borderId="27" xfId="230" applyNumberFormat="1" applyFont="1" applyBorder="1" applyAlignment="1">
      <alignment wrapText="1"/>
      <protection/>
    </xf>
    <xf numFmtId="3" fontId="23" fillId="0" borderId="27" xfId="230" applyNumberFormat="1" applyFont="1" applyFill="1" applyBorder="1">
      <alignment/>
      <protection/>
    </xf>
    <xf numFmtId="3" fontId="23" fillId="0" borderId="28" xfId="230" applyNumberFormat="1" applyFont="1" applyFill="1" applyBorder="1">
      <alignment/>
      <protection/>
    </xf>
    <xf numFmtId="3" fontId="23" fillId="0" borderId="61" xfId="230" applyNumberFormat="1" applyFont="1" applyFill="1" applyBorder="1">
      <alignment/>
      <protection/>
    </xf>
    <xf numFmtId="3" fontId="23" fillId="0" borderId="16" xfId="230" applyNumberFormat="1" applyFont="1" applyBorder="1" applyAlignment="1">
      <alignment horizontal="left"/>
      <protection/>
    </xf>
    <xf numFmtId="3" fontId="23" fillId="0" borderId="17" xfId="230" applyNumberFormat="1" applyFont="1" applyBorder="1" applyAlignment="1">
      <alignment wrapText="1"/>
      <protection/>
    </xf>
    <xf numFmtId="3" fontId="23" fillId="0" borderId="17" xfId="230" applyNumberFormat="1" applyFont="1" applyFill="1" applyBorder="1">
      <alignment/>
      <protection/>
    </xf>
    <xf numFmtId="3" fontId="23" fillId="0" borderId="20" xfId="230" applyNumberFormat="1" applyFont="1" applyBorder="1" applyAlignment="1">
      <alignment horizontal="left"/>
      <protection/>
    </xf>
    <xf numFmtId="3" fontId="23" fillId="0" borderId="11" xfId="230" applyNumberFormat="1" applyFont="1" applyBorder="1" applyAlignment="1">
      <alignment wrapText="1"/>
      <protection/>
    </xf>
    <xf numFmtId="3" fontId="23" fillId="0" borderId="11" xfId="230" applyNumberFormat="1" applyFont="1" applyBorder="1">
      <alignment/>
      <protection/>
    </xf>
    <xf numFmtId="3" fontId="23" fillId="0" borderId="52" xfId="238" applyNumberFormat="1" applyFont="1" applyFill="1" applyBorder="1" applyAlignment="1">
      <alignment horizontal="center" vertical="top" wrapText="1"/>
      <protection/>
    </xf>
    <xf numFmtId="3" fontId="23" fillId="0" borderId="21" xfId="230" applyNumberFormat="1" applyFont="1" applyBorder="1">
      <alignment/>
      <protection/>
    </xf>
    <xf numFmtId="3" fontId="23" fillId="0" borderId="23" xfId="230" applyNumberFormat="1" applyFont="1" applyBorder="1" applyAlignment="1">
      <alignment horizontal="left"/>
      <protection/>
    </xf>
    <xf numFmtId="3" fontId="23" fillId="0" borderId="13" xfId="230" applyNumberFormat="1" applyFont="1" applyBorder="1" applyAlignment="1">
      <alignment wrapText="1"/>
      <protection/>
    </xf>
    <xf numFmtId="3" fontId="23" fillId="0" borderId="42" xfId="230" applyNumberFormat="1" applyFont="1" applyFill="1" applyBorder="1">
      <alignment/>
      <protection/>
    </xf>
    <xf numFmtId="3" fontId="23" fillId="0" borderId="42" xfId="230" applyNumberFormat="1" applyFont="1" applyBorder="1">
      <alignment/>
      <protection/>
    </xf>
    <xf numFmtId="3" fontId="23" fillId="46" borderId="13" xfId="230" applyNumberFormat="1" applyFont="1" applyFill="1" applyBorder="1">
      <alignment/>
      <protection/>
    </xf>
    <xf numFmtId="3" fontId="23" fillId="0" borderId="32" xfId="230" applyNumberFormat="1" applyFont="1" applyBorder="1" applyAlignment="1">
      <alignment wrapText="1"/>
      <protection/>
    </xf>
    <xf numFmtId="3" fontId="23" fillId="0" borderId="52" xfId="238" applyNumberFormat="1" applyFont="1" applyBorder="1" applyAlignment="1">
      <alignment horizontal="right" wrapText="1"/>
      <protection/>
    </xf>
    <xf numFmtId="3" fontId="23" fillId="0" borderId="32" xfId="230" applyNumberFormat="1" applyFont="1" applyFill="1" applyBorder="1">
      <alignment/>
      <protection/>
    </xf>
    <xf numFmtId="3" fontId="23" fillId="0" borderId="33" xfId="230" applyNumberFormat="1" applyFont="1" applyFill="1" applyBorder="1">
      <alignment/>
      <protection/>
    </xf>
    <xf numFmtId="3" fontId="21" fillId="0" borderId="16" xfId="230" applyNumberFormat="1" applyFont="1" applyBorder="1">
      <alignment/>
      <protection/>
    </xf>
    <xf numFmtId="3" fontId="23" fillId="0" borderId="17" xfId="230" applyNumberFormat="1" applyFont="1" applyBorder="1" applyAlignment="1">
      <alignment horizontal="right"/>
      <protection/>
    </xf>
    <xf numFmtId="0" fontId="20" fillId="0" borderId="0" xfId="230" applyFont="1">
      <alignment/>
      <protection/>
    </xf>
    <xf numFmtId="0" fontId="20" fillId="0" borderId="0" xfId="0" applyFont="1" applyFill="1" applyAlignment="1">
      <alignment wrapText="1"/>
    </xf>
    <xf numFmtId="0" fontId="20" fillId="0" borderId="0" xfId="230" applyFont="1" applyBorder="1">
      <alignment/>
      <protection/>
    </xf>
    <xf numFmtId="0" fontId="20" fillId="0" borderId="0" xfId="230" applyFont="1" applyFill="1" applyBorder="1">
      <alignment/>
      <protection/>
    </xf>
    <xf numFmtId="0" fontId="20" fillId="0" borderId="0" xfId="236" applyFont="1">
      <alignment/>
      <protection/>
    </xf>
    <xf numFmtId="0" fontId="22" fillId="0" borderId="0" xfId="230" applyFont="1" applyFill="1">
      <alignment/>
      <protection/>
    </xf>
    <xf numFmtId="0" fontId="24" fillId="0" borderId="0" xfId="230" applyFont="1" applyFill="1" applyAlignment="1">
      <alignment horizontal="left"/>
      <protection/>
    </xf>
    <xf numFmtId="0" fontId="23" fillId="0" borderId="0" xfId="230" applyFont="1" applyFill="1" applyBorder="1" applyProtection="1">
      <alignment/>
      <protection/>
    </xf>
    <xf numFmtId="0" fontId="21" fillId="0" borderId="0" xfId="230" applyFont="1" applyFill="1" applyBorder="1" applyAlignment="1" applyProtection="1">
      <alignment horizontal="left" wrapText="1"/>
      <protection/>
    </xf>
    <xf numFmtId="3" fontId="23" fillId="0" borderId="0" xfId="230" applyNumberFormat="1" applyFont="1" applyFill="1" applyBorder="1" applyAlignment="1" applyProtection="1">
      <alignment horizontal="center"/>
      <protection/>
    </xf>
    <xf numFmtId="1" fontId="23" fillId="0" borderId="0" xfId="230" applyNumberFormat="1" applyFont="1" applyFill="1" applyBorder="1" applyProtection="1">
      <alignment/>
      <protection/>
    </xf>
    <xf numFmtId="0" fontId="21" fillId="0" borderId="0" xfId="230" applyFont="1" applyFill="1" applyAlignment="1">
      <alignment wrapText="1"/>
      <protection/>
    </xf>
    <xf numFmtId="0" fontId="23" fillId="0" borderId="0" xfId="230" applyFont="1" applyFill="1" applyBorder="1" applyAlignment="1">
      <alignment horizontal="right"/>
      <protection/>
    </xf>
    <xf numFmtId="3" fontId="23" fillId="0" borderId="0" xfId="230" applyNumberFormat="1" applyFont="1" applyFill="1" applyBorder="1" applyAlignment="1">
      <alignment wrapText="1"/>
      <protection/>
    </xf>
    <xf numFmtId="0" fontId="0" fillId="0" borderId="0" xfId="238">
      <alignment/>
      <protection/>
    </xf>
    <xf numFmtId="0" fontId="22" fillId="0" borderId="13" xfId="238" applyFont="1" applyBorder="1" applyAlignment="1">
      <alignment horizontal="justify" vertical="top" wrapText="1"/>
      <protection/>
    </xf>
    <xf numFmtId="0" fontId="22" fillId="0" borderId="13" xfId="238" applyFont="1" applyBorder="1" applyAlignment="1">
      <alignment horizontal="center" vertical="top" wrapText="1"/>
      <protection/>
    </xf>
    <xf numFmtId="0" fontId="20" fillId="0" borderId="13" xfId="238" applyFont="1" applyBorder="1" applyAlignment="1">
      <alignment vertical="top" wrapText="1"/>
      <protection/>
    </xf>
    <xf numFmtId="0" fontId="20" fillId="0" borderId="13" xfId="236" applyFont="1" applyBorder="1" applyAlignment="1">
      <alignment horizontal="center" vertical="center"/>
      <protection/>
    </xf>
    <xf numFmtId="0" fontId="20" fillId="0" borderId="13" xfId="256" applyNumberFormat="1" applyFont="1" applyBorder="1" applyAlignment="1">
      <alignment horizontal="center" vertical="center"/>
    </xf>
    <xf numFmtId="0" fontId="20" fillId="0" borderId="13" xfId="238" applyFont="1" applyBorder="1" applyAlignment="1">
      <alignment horizontal="center" vertical="center" wrapText="1"/>
      <protection/>
    </xf>
    <xf numFmtId="0" fontId="34" fillId="0" borderId="0" xfId="238" applyFont="1">
      <alignment/>
      <protection/>
    </xf>
    <xf numFmtId="0" fontId="22" fillId="0" borderId="11" xfId="238" applyFont="1" applyBorder="1" applyAlignment="1">
      <alignment horizontal="justify" vertical="top" wrapText="1"/>
      <protection/>
    </xf>
    <xf numFmtId="1" fontId="22" fillId="0" borderId="52" xfId="238" applyNumberFormat="1" applyFont="1" applyBorder="1" applyAlignment="1">
      <alignment horizontal="center" vertical="top" wrapText="1"/>
      <protection/>
    </xf>
    <xf numFmtId="0" fontId="20" fillId="0" borderId="11" xfId="238" applyFont="1" applyBorder="1" applyAlignment="1">
      <alignment horizontal="justify" vertical="top" wrapText="1"/>
      <protection/>
    </xf>
    <xf numFmtId="0" fontId="20" fillId="0" borderId="52" xfId="238" applyFont="1" applyBorder="1" applyAlignment="1">
      <alignment horizontal="center" vertical="top" wrapText="1"/>
      <protection/>
    </xf>
    <xf numFmtId="0" fontId="20" fillId="0" borderId="52" xfId="238" applyFont="1" applyFill="1" applyBorder="1" applyAlignment="1">
      <alignment horizontal="center" vertical="top" wrapText="1"/>
      <protection/>
    </xf>
    <xf numFmtId="0" fontId="20" fillId="0" borderId="24" xfId="238" applyFont="1" applyBorder="1" applyAlignment="1">
      <alignment horizontal="center" vertical="top" wrapText="1"/>
      <protection/>
    </xf>
    <xf numFmtId="0" fontId="35" fillId="0" borderId="52" xfId="238" applyFont="1" applyBorder="1" applyAlignment="1">
      <alignment horizontal="center" vertical="top" wrapText="1"/>
      <protection/>
    </xf>
    <xf numFmtId="0" fontId="35" fillId="0" borderId="52" xfId="238" applyFont="1" applyFill="1" applyBorder="1" applyAlignment="1">
      <alignment horizontal="center" vertical="top" wrapText="1"/>
      <protection/>
    </xf>
    <xf numFmtId="0" fontId="22" fillId="0" borderId="11" xfId="238" applyFont="1" applyBorder="1" applyAlignment="1">
      <alignment vertical="top" wrapText="1"/>
      <protection/>
    </xf>
    <xf numFmtId="0" fontId="22" fillId="0" borderId="52" xfId="238" applyFont="1" applyBorder="1" applyAlignment="1">
      <alignment horizontal="center" vertical="top" wrapText="1"/>
      <protection/>
    </xf>
    <xf numFmtId="0" fontId="20" fillId="0" borderId="0" xfId="238" applyFont="1">
      <alignment/>
      <protection/>
    </xf>
    <xf numFmtId="0" fontId="0" fillId="0" borderId="0" xfId="238" applyFill="1">
      <alignment/>
      <protection/>
    </xf>
    <xf numFmtId="0" fontId="33" fillId="0" borderId="0" xfId="238" applyFont="1" applyFill="1" applyAlignment="1">
      <alignment horizontal="center"/>
      <protection/>
    </xf>
    <xf numFmtId="0" fontId="22" fillId="0" borderId="13" xfId="238" applyFont="1" applyFill="1" applyBorder="1" applyAlignment="1">
      <alignment horizontal="center" vertical="top" wrapText="1"/>
      <protection/>
    </xf>
    <xf numFmtId="0" fontId="0" fillId="0" borderId="13" xfId="236" applyFont="1" applyFill="1" applyBorder="1" applyAlignment="1">
      <alignment horizontal="center" vertical="center"/>
      <protection/>
    </xf>
    <xf numFmtId="0" fontId="0" fillId="0" borderId="13" xfId="256" applyNumberFormat="1" applyFont="1" applyFill="1" applyBorder="1" applyAlignment="1">
      <alignment horizontal="center" vertical="center"/>
    </xf>
    <xf numFmtId="0" fontId="20" fillId="0" borderId="13" xfId="238" applyFont="1" applyFill="1" applyBorder="1" applyAlignment="1">
      <alignment horizontal="center" vertical="center" wrapText="1"/>
      <protection/>
    </xf>
    <xf numFmtId="1" fontId="22" fillId="0" borderId="52" xfId="238" applyNumberFormat="1" applyFont="1" applyFill="1" applyBorder="1" applyAlignment="1">
      <alignment horizontal="center" vertical="top" wrapText="1"/>
      <protection/>
    </xf>
    <xf numFmtId="0" fontId="21" fillId="0" borderId="11" xfId="238" applyFont="1" applyFill="1" applyBorder="1" applyAlignment="1">
      <alignment horizontal="justify" vertical="top" wrapText="1"/>
      <protection/>
    </xf>
    <xf numFmtId="0" fontId="21" fillId="0" borderId="52" xfId="238" applyFont="1" applyFill="1" applyBorder="1" applyAlignment="1">
      <alignment horizontal="center" vertical="top" wrapText="1"/>
      <protection/>
    </xf>
    <xf numFmtId="0" fontId="21" fillId="0" borderId="24" xfId="238" applyFont="1" applyFill="1" applyBorder="1" applyAlignment="1">
      <alignment horizontal="center" vertical="top" wrapText="1"/>
      <protection/>
    </xf>
    <xf numFmtId="0" fontId="26" fillId="0" borderId="52" xfId="238" applyFont="1" applyFill="1" applyBorder="1" applyAlignment="1">
      <alignment horizontal="center" vertical="top" wrapText="1"/>
      <protection/>
    </xf>
    <xf numFmtId="0" fontId="22" fillId="0" borderId="52" xfId="238" applyFont="1" applyFill="1" applyBorder="1" applyAlignment="1">
      <alignment horizontal="center" vertical="top" wrapText="1"/>
      <protection/>
    </xf>
    <xf numFmtId="0" fontId="33" fillId="0" borderId="0" xfId="238" applyFont="1" applyAlignment="1">
      <alignment horizontal="center"/>
      <protection/>
    </xf>
    <xf numFmtId="0" fontId="21" fillId="0" borderId="11" xfId="238" applyFont="1" applyBorder="1" applyAlignment="1">
      <alignment horizontal="justify" vertical="top" wrapText="1"/>
      <protection/>
    </xf>
    <xf numFmtId="0" fontId="21" fillId="0" borderId="52" xfId="238" applyFont="1" applyBorder="1" applyAlignment="1">
      <alignment horizontal="center" vertical="top" wrapText="1"/>
      <protection/>
    </xf>
    <xf numFmtId="0" fontId="21" fillId="0" borderId="24" xfId="238" applyFont="1" applyBorder="1" applyAlignment="1">
      <alignment horizontal="center" vertical="top" wrapText="1"/>
      <protection/>
    </xf>
    <xf numFmtId="0" fontId="20" fillId="0" borderId="0" xfId="238" applyFont="1" applyBorder="1" applyAlignment="1">
      <alignment horizontal="left"/>
      <protection/>
    </xf>
    <xf numFmtId="0" fontId="26" fillId="0" borderId="52" xfId="238" applyFont="1" applyBorder="1" applyAlignment="1">
      <alignment horizontal="center" vertical="top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234" applyFont="1" applyFill="1" applyBorder="1" applyAlignment="1">
      <alignment vertical="center" wrapText="1"/>
      <protection/>
    </xf>
    <xf numFmtId="0" fontId="21" fillId="0" borderId="17" xfId="234" applyFont="1" applyFill="1" applyBorder="1" applyAlignment="1">
      <alignment vertical="center" wrapText="1"/>
      <protection/>
    </xf>
    <xf numFmtId="0" fontId="21" fillId="0" borderId="23" xfId="230" applyFont="1" applyFill="1" applyBorder="1" applyAlignment="1">
      <alignment horizontal="left"/>
      <protection/>
    </xf>
    <xf numFmtId="0" fontId="21" fillId="0" borderId="13" xfId="230" applyFont="1" applyFill="1" applyBorder="1" applyAlignment="1">
      <alignment wrapText="1"/>
      <protection/>
    </xf>
    <xf numFmtId="0" fontId="21" fillId="0" borderId="16" xfId="230" applyFont="1" applyFill="1" applyBorder="1" applyAlignment="1">
      <alignment horizontal="right"/>
      <protection/>
    </xf>
    <xf numFmtId="0" fontId="23" fillId="0" borderId="17" xfId="230" applyFont="1" applyFill="1" applyBorder="1" applyAlignment="1">
      <alignment horizontal="right" wrapText="1"/>
      <protection/>
    </xf>
    <xf numFmtId="0" fontId="21" fillId="0" borderId="11" xfId="230" applyFont="1" applyFill="1" applyBorder="1" applyProtection="1">
      <alignment/>
      <protection/>
    </xf>
    <xf numFmtId="0" fontId="21" fillId="0" borderId="11" xfId="230" applyFont="1" applyFill="1" applyBorder="1" applyAlignment="1" applyProtection="1">
      <alignment horizontal="left" wrapText="1"/>
      <protection/>
    </xf>
    <xf numFmtId="0" fontId="23" fillId="0" borderId="13" xfId="230" applyFont="1" applyFill="1" applyBorder="1" applyProtection="1">
      <alignment/>
      <protection/>
    </xf>
    <xf numFmtId="0" fontId="21" fillId="0" borderId="13" xfId="230" applyFont="1" applyFill="1" applyBorder="1" applyAlignment="1" applyProtection="1">
      <alignment horizontal="left" wrapText="1"/>
      <protection/>
    </xf>
    <xf numFmtId="0" fontId="25" fillId="0" borderId="0" xfId="236" applyFont="1">
      <alignment/>
      <protection/>
    </xf>
    <xf numFmtId="0" fontId="21" fillId="0" borderId="0" xfId="0" applyFont="1" applyFill="1" applyAlignment="1">
      <alignment wrapText="1"/>
    </xf>
    <xf numFmtId="49" fontId="23" fillId="0" borderId="16" xfId="230" applyNumberFormat="1" applyFont="1" applyFill="1" applyBorder="1">
      <alignment/>
      <protection/>
    </xf>
    <xf numFmtId="0" fontId="23" fillId="0" borderId="17" xfId="230" applyFont="1" applyFill="1" applyBorder="1" applyAlignment="1">
      <alignment wrapText="1"/>
      <protection/>
    </xf>
    <xf numFmtId="49" fontId="23" fillId="0" borderId="16" xfId="230" applyNumberFormat="1" applyFont="1" applyFill="1" applyBorder="1" applyAlignment="1">
      <alignment horizontal="left"/>
      <protection/>
    </xf>
    <xf numFmtId="0" fontId="23" fillId="0" borderId="17" xfId="230" applyFont="1" applyFill="1" applyBorder="1" applyAlignment="1">
      <alignment horizontal="left" wrapText="1"/>
      <protection/>
    </xf>
    <xf numFmtId="49" fontId="23" fillId="0" borderId="16" xfId="237" applyNumberFormat="1" applyFont="1" applyFill="1" applyBorder="1" applyAlignment="1">
      <alignment horizontal="left"/>
      <protection/>
    </xf>
    <xf numFmtId="0" fontId="23" fillId="0" borderId="17" xfId="237" applyFont="1" applyFill="1" applyBorder="1" applyAlignment="1">
      <alignment wrapText="1"/>
      <protection/>
    </xf>
    <xf numFmtId="0" fontId="21" fillId="0" borderId="16" xfId="230" applyFont="1" applyFill="1" applyBorder="1">
      <alignment/>
      <protection/>
    </xf>
    <xf numFmtId="0" fontId="21" fillId="0" borderId="0" xfId="230" applyFont="1" applyFill="1" applyBorder="1" applyAlignment="1">
      <alignment wrapText="1"/>
      <protection/>
    </xf>
    <xf numFmtId="0" fontId="26" fillId="0" borderId="0" xfId="230" applyFont="1" applyFill="1" applyBorder="1" applyAlignment="1">
      <alignment horizontal="right" wrapText="1"/>
      <protection/>
    </xf>
    <xf numFmtId="0" fontId="23" fillId="0" borderId="34" xfId="230" applyFont="1" applyBorder="1" applyAlignment="1">
      <alignment horizontal="left"/>
      <protection/>
    </xf>
    <xf numFmtId="0" fontId="23" fillId="0" borderId="12" xfId="230" applyFont="1" applyBorder="1" applyAlignment="1">
      <alignment wrapText="1"/>
      <protection/>
    </xf>
    <xf numFmtId="0" fontId="23" fillId="0" borderId="12" xfId="230" applyFont="1" applyFill="1" applyBorder="1">
      <alignment/>
      <protection/>
    </xf>
    <xf numFmtId="0" fontId="23" fillId="0" borderId="44" xfId="230" applyFont="1" applyFill="1" applyBorder="1">
      <alignment/>
      <protection/>
    </xf>
    <xf numFmtId="0" fontId="23" fillId="0" borderId="26" xfId="230" applyFont="1" applyBorder="1" applyAlignment="1">
      <alignment horizontal="left"/>
      <protection/>
    </xf>
    <xf numFmtId="0" fontId="23" fillId="0" borderId="27" xfId="230" applyFont="1" applyBorder="1" applyAlignment="1">
      <alignment wrapText="1"/>
      <protection/>
    </xf>
    <xf numFmtId="0" fontId="23" fillId="0" borderId="27" xfId="230" applyFont="1" applyFill="1" applyBorder="1">
      <alignment/>
      <protection/>
    </xf>
    <xf numFmtId="0" fontId="23" fillId="0" borderId="61" xfId="230" applyFont="1" applyFill="1" applyBorder="1">
      <alignment/>
      <protection/>
    </xf>
    <xf numFmtId="0" fontId="23" fillId="0" borderId="16" xfId="230" applyFont="1" applyBorder="1" applyAlignment="1">
      <alignment horizontal="left"/>
      <protection/>
    </xf>
    <xf numFmtId="0" fontId="23" fillId="0" borderId="17" xfId="230" applyFont="1" applyBorder="1" applyAlignment="1">
      <alignment wrapText="1"/>
      <protection/>
    </xf>
    <xf numFmtId="0" fontId="23" fillId="0" borderId="17" xfId="230" applyFont="1" applyFill="1" applyBorder="1">
      <alignment/>
      <protection/>
    </xf>
    <xf numFmtId="0" fontId="23" fillId="0" borderId="19" xfId="230" applyFont="1" applyFill="1" applyBorder="1">
      <alignment/>
      <protection/>
    </xf>
    <xf numFmtId="0" fontId="23" fillId="0" borderId="20" xfId="230" applyFont="1" applyBorder="1" applyAlignment="1">
      <alignment horizontal="left"/>
      <protection/>
    </xf>
    <xf numFmtId="0" fontId="23" fillId="0" borderId="11" xfId="230" applyFont="1" applyBorder="1" applyAlignment="1">
      <alignment wrapText="1"/>
      <protection/>
    </xf>
    <xf numFmtId="0" fontId="23" fillId="0" borderId="11" xfId="230" applyFont="1" applyFill="1" applyBorder="1">
      <alignment/>
      <protection/>
    </xf>
    <xf numFmtId="0" fontId="23" fillId="0" borderId="11" xfId="230" applyFont="1" applyBorder="1">
      <alignment/>
      <protection/>
    </xf>
    <xf numFmtId="0" fontId="23" fillId="0" borderId="22" xfId="230" applyFont="1" applyFill="1" applyBorder="1">
      <alignment/>
      <protection/>
    </xf>
    <xf numFmtId="0" fontId="23" fillId="0" borderId="23" xfId="230" applyFont="1" applyBorder="1" applyAlignment="1">
      <alignment horizontal="left"/>
      <protection/>
    </xf>
    <xf numFmtId="0" fontId="23" fillId="0" borderId="13" xfId="230" applyFont="1" applyBorder="1" applyAlignment="1">
      <alignment wrapText="1"/>
      <protection/>
    </xf>
    <xf numFmtId="0" fontId="23" fillId="0" borderId="13" xfId="230" applyFont="1" applyFill="1" applyBorder="1">
      <alignment/>
      <protection/>
    </xf>
    <xf numFmtId="0" fontId="23" fillId="0" borderId="42" xfId="230" applyFont="1" applyFill="1" applyBorder="1">
      <alignment/>
      <protection/>
    </xf>
    <xf numFmtId="0" fontId="23" fillId="0" borderId="42" xfId="230" applyFont="1" applyBorder="1">
      <alignment/>
      <protection/>
    </xf>
    <xf numFmtId="0" fontId="21" fillId="0" borderId="16" xfId="230" applyFont="1" applyBorder="1">
      <alignment/>
      <protection/>
    </xf>
    <xf numFmtId="0" fontId="23" fillId="0" borderId="17" xfId="230" applyFont="1" applyBorder="1" applyAlignment="1">
      <alignment horizontal="right"/>
      <protection/>
    </xf>
    <xf numFmtId="0" fontId="21" fillId="0" borderId="0" xfId="230" applyFont="1">
      <alignment/>
      <protection/>
    </xf>
    <xf numFmtId="3" fontId="21" fillId="0" borderId="0" xfId="230" applyNumberFormat="1" applyFont="1" applyBorder="1" applyAlignment="1">
      <alignment horizontal="right" wrapText="1"/>
      <protection/>
    </xf>
    <xf numFmtId="0" fontId="21" fillId="0" borderId="0" xfId="230" applyFont="1" applyBorder="1">
      <alignment/>
      <protection/>
    </xf>
    <xf numFmtId="0" fontId="20" fillId="0" borderId="0" xfId="0" applyFont="1" applyAlignment="1">
      <alignment/>
    </xf>
    <xf numFmtId="0" fontId="20" fillId="0" borderId="16" xfId="0" applyFont="1" applyBorder="1" applyAlignment="1">
      <alignment wrapText="1"/>
    </xf>
    <xf numFmtId="0" fontId="20" fillId="0" borderId="17" xfId="0" applyFont="1" applyBorder="1" applyAlignment="1">
      <alignment horizontal="center" wrapText="1"/>
    </xf>
    <xf numFmtId="3" fontId="20" fillId="0" borderId="62" xfId="0" applyNumberFormat="1" applyFont="1" applyBorder="1" applyAlignment="1">
      <alignment horizontal="center" wrapText="1"/>
    </xf>
    <xf numFmtId="0" fontId="20" fillId="0" borderId="34" xfId="0" applyFont="1" applyBorder="1" applyAlignment="1">
      <alignment wrapText="1"/>
    </xf>
    <xf numFmtId="0" fontId="20" fillId="0" borderId="12" xfId="0" applyFont="1" applyBorder="1" applyAlignment="1">
      <alignment horizontal="left" wrapText="1"/>
    </xf>
    <xf numFmtId="3" fontId="20" fillId="0" borderId="63" xfId="0" applyNumberFormat="1" applyFont="1" applyBorder="1" applyAlignment="1">
      <alignment horizontal="right" wrapText="1"/>
    </xf>
    <xf numFmtId="0" fontId="20" fillId="0" borderId="23" xfId="0" applyFont="1" applyBorder="1" applyAlignment="1">
      <alignment wrapText="1"/>
    </xf>
    <xf numFmtId="0" fontId="20" fillId="0" borderId="13" xfId="0" applyFont="1" applyBorder="1" applyAlignment="1">
      <alignment horizontal="left" wrapText="1"/>
    </xf>
    <xf numFmtId="3" fontId="20" fillId="47" borderId="64" xfId="232" applyNumberFormat="1" applyFont="1" applyFill="1" applyBorder="1" applyAlignment="1">
      <alignment horizontal="right"/>
      <protection/>
    </xf>
    <xf numFmtId="0" fontId="20" fillId="0" borderId="13" xfId="0" applyFont="1" applyBorder="1" applyAlignment="1">
      <alignment wrapText="1"/>
    </xf>
    <xf numFmtId="3" fontId="20" fillId="46" borderId="65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wrapText="1"/>
    </xf>
    <xf numFmtId="3" fontId="20" fillId="0" borderId="65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/>
    </xf>
    <xf numFmtId="3" fontId="20" fillId="0" borderId="14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3" fontId="20" fillId="0" borderId="66" xfId="0" applyNumberFormat="1" applyFont="1" applyFill="1" applyBorder="1" applyAlignment="1">
      <alignment horizontal="right"/>
    </xf>
    <xf numFmtId="3" fontId="20" fillId="0" borderId="67" xfId="0" applyNumberFormat="1" applyFont="1" applyFill="1" applyBorder="1" applyAlignment="1">
      <alignment horizontal="right"/>
    </xf>
    <xf numFmtId="0" fontId="21" fillId="0" borderId="13" xfId="0" applyFont="1" applyBorder="1" applyAlignment="1">
      <alignment horizontal="left" vertical="top" wrapText="1"/>
    </xf>
    <xf numFmtId="0" fontId="20" fillId="0" borderId="27" xfId="0" applyFont="1" applyFill="1" applyBorder="1" applyAlignment="1">
      <alignment wrapText="1"/>
    </xf>
    <xf numFmtId="3" fontId="20" fillId="47" borderId="67" xfId="0" applyNumberFormat="1" applyFont="1" applyFill="1" applyBorder="1" applyAlignment="1">
      <alignment horizontal="right"/>
    </xf>
    <xf numFmtId="0" fontId="20" fillId="0" borderId="16" xfId="0" applyFont="1" applyBorder="1" applyAlignment="1">
      <alignment/>
    </xf>
    <xf numFmtId="0" fontId="22" fillId="0" borderId="17" xfId="0" applyFont="1" applyBorder="1" applyAlignment="1">
      <alignment wrapText="1"/>
    </xf>
    <xf numFmtId="3" fontId="22" fillId="0" borderId="62" xfId="0" applyNumberFormat="1" applyFont="1" applyBorder="1" applyAlignment="1">
      <alignment horizontal="right"/>
    </xf>
    <xf numFmtId="0" fontId="22" fillId="0" borderId="0" xfId="0" applyFont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Alignment="1">
      <alignment wrapText="1"/>
    </xf>
    <xf numFmtId="0" fontId="24" fillId="46" borderId="0" xfId="0" applyFont="1" applyFill="1" applyAlignment="1">
      <alignment horizontal="center"/>
    </xf>
    <xf numFmtId="0" fontId="24" fillId="46" borderId="60" xfId="0" applyFont="1" applyFill="1" applyBorder="1" applyAlignment="1">
      <alignment horizontal="center" wrapText="1"/>
    </xf>
    <xf numFmtId="0" fontId="20" fillId="0" borderId="0" xfId="238" applyFont="1" applyFill="1" applyAlignment="1">
      <alignment horizontal="right"/>
      <protection/>
    </xf>
    <xf numFmtId="0" fontId="20" fillId="0" borderId="0" xfId="0" applyFont="1" applyFill="1" applyAlignment="1">
      <alignment horizontal="right"/>
    </xf>
    <xf numFmtId="0" fontId="24" fillId="0" borderId="0" xfId="0" applyFont="1" applyBorder="1" applyAlignment="1">
      <alignment horizontal="center" wrapText="1"/>
    </xf>
    <xf numFmtId="3" fontId="24" fillId="0" borderId="60" xfId="230" applyNumberFormat="1" applyFont="1" applyFill="1" applyBorder="1" applyAlignment="1">
      <alignment horizontal="center" wrapText="1"/>
      <protection/>
    </xf>
    <xf numFmtId="3" fontId="24" fillId="0" borderId="60" xfId="230" applyNumberFormat="1" applyFont="1" applyBorder="1" applyAlignment="1">
      <alignment horizontal="center" wrapText="1"/>
      <protection/>
    </xf>
    <xf numFmtId="0" fontId="24" fillId="0" borderId="0" xfId="230" applyFont="1" applyFill="1" applyAlignment="1">
      <alignment horizontal="left"/>
      <protection/>
    </xf>
    <xf numFmtId="0" fontId="20" fillId="0" borderId="68" xfId="238" applyFont="1" applyBorder="1" applyAlignment="1">
      <alignment horizontal="left"/>
      <protection/>
    </xf>
    <xf numFmtId="0" fontId="33" fillId="0" borderId="0" xfId="238" applyFont="1" applyAlignment="1">
      <alignment horizontal="center"/>
      <protection/>
    </xf>
    <xf numFmtId="0" fontId="33" fillId="0" borderId="0" xfId="238" applyFont="1" applyAlignment="1">
      <alignment horizontal="center"/>
      <protection/>
    </xf>
    <xf numFmtId="0" fontId="20" fillId="0" borderId="27" xfId="238" applyFont="1" applyBorder="1" applyAlignment="1">
      <alignment horizontal="center" vertical="top" wrapText="1"/>
      <protection/>
    </xf>
    <xf numFmtId="0" fontId="20" fillId="0" borderId="11" xfId="238" applyFont="1" applyBorder="1" applyAlignment="1">
      <alignment horizontal="center" vertical="top" wrapText="1"/>
      <protection/>
    </xf>
    <xf numFmtId="0" fontId="20" fillId="0" borderId="0" xfId="238" applyFont="1" applyBorder="1" applyAlignment="1">
      <alignment horizontal="left"/>
      <protection/>
    </xf>
    <xf numFmtId="0" fontId="20" fillId="0" borderId="68" xfId="238" applyFont="1" applyFill="1" applyBorder="1" applyAlignment="1">
      <alignment horizontal="left"/>
      <protection/>
    </xf>
    <xf numFmtId="0" fontId="33" fillId="0" borderId="0" xfId="238" applyFont="1" applyFill="1" applyAlignment="1">
      <alignment horizontal="center"/>
      <protection/>
    </xf>
    <xf numFmtId="0" fontId="20" fillId="0" borderId="27" xfId="238" applyFont="1" applyFill="1" applyBorder="1" applyAlignment="1">
      <alignment horizontal="center" vertical="top" wrapText="1"/>
      <protection/>
    </xf>
    <xf numFmtId="0" fontId="20" fillId="0" borderId="11" xfId="238" applyFont="1" applyFill="1" applyBorder="1" applyAlignment="1">
      <alignment horizontal="center" vertical="top" wrapText="1"/>
      <protection/>
    </xf>
    <xf numFmtId="0" fontId="33" fillId="0" borderId="40" xfId="238" applyFont="1" applyBorder="1" applyAlignment="1">
      <alignment horizontal="center"/>
      <protection/>
    </xf>
    <xf numFmtId="0" fontId="24" fillId="0" borderId="60" xfId="230" applyFont="1" applyFill="1" applyBorder="1" applyAlignment="1">
      <alignment horizontal="center" wrapText="1"/>
      <protection/>
    </xf>
    <xf numFmtId="0" fontId="24" fillId="0" borderId="60" xfId="230" applyFont="1" applyBorder="1" applyAlignment="1">
      <alignment horizontal="center" wrapText="1"/>
      <protection/>
    </xf>
  </cellXfs>
  <cellStyles count="265">
    <cellStyle name="Normal" xfId="0"/>
    <cellStyle name="1. izcēlums 2" xfId="15"/>
    <cellStyle name="1. izcēlums" xfId="16"/>
    <cellStyle name="2. izcēlums 2" xfId="17"/>
    <cellStyle name="20% - Accent1" xfId="18"/>
    <cellStyle name="20% - Accent1 2 2" xfId="19"/>
    <cellStyle name="20% - Accent1 2 2 2" xfId="20"/>
    <cellStyle name="20% - Accent1 2 2 3" xfId="21"/>
    <cellStyle name="20% - Accent2" xfId="22"/>
    <cellStyle name="20% - Accent2 2 2" xfId="23"/>
    <cellStyle name="20% - Accent2 2 2 2" xfId="24"/>
    <cellStyle name="20% - Accent2 2 2 3" xfId="25"/>
    <cellStyle name="20% - Accent3" xfId="26"/>
    <cellStyle name="20% - Accent3 2 2" xfId="27"/>
    <cellStyle name="20% - Accent3 2 2 2" xfId="28"/>
    <cellStyle name="20% - Accent3 2 2 3" xfId="29"/>
    <cellStyle name="20% - Accent4" xfId="30"/>
    <cellStyle name="20% - Accent4 2 2" xfId="31"/>
    <cellStyle name="20% - Accent4 2 2 2" xfId="32"/>
    <cellStyle name="20% - Accent4 2 2 3" xfId="33"/>
    <cellStyle name="20% - Accent5" xfId="34"/>
    <cellStyle name="20% - Accent5 2 2" xfId="35"/>
    <cellStyle name="20% - Accent5 2 2 2" xfId="36"/>
    <cellStyle name="20% - Accent5 2 2 3" xfId="37"/>
    <cellStyle name="20% - Accent6" xfId="38"/>
    <cellStyle name="20% - Accent6 2 2" xfId="39"/>
    <cellStyle name="20% - Accent6 2 2 2" xfId="40"/>
    <cellStyle name="20% - Accent6 2 2 3" xfId="41"/>
    <cellStyle name="20% no 1. izcēluma 2" xfId="42"/>
    <cellStyle name="20% no 1. izcēluma" xfId="43"/>
    <cellStyle name="20% no 2. izcēluma 2" xfId="44"/>
    <cellStyle name="20% no 2. izcēluma" xfId="45"/>
    <cellStyle name="20% no 3. izcēluma 2" xfId="46"/>
    <cellStyle name="20% no 3. izcēluma" xfId="47"/>
    <cellStyle name="20% no 4. izcēluma 2" xfId="48"/>
    <cellStyle name="20% no 4. izcēluma" xfId="49"/>
    <cellStyle name="20% no 5. izcēluma 2" xfId="50"/>
    <cellStyle name="20% no 5. izcēluma" xfId="51"/>
    <cellStyle name="20% no 6. izcēluma 2" xfId="52"/>
    <cellStyle name="20% no 6. izcēluma" xfId="53"/>
    <cellStyle name="3. izcēlums  2" xfId="54"/>
    <cellStyle name="4. izcēlums 2" xfId="55"/>
    <cellStyle name="40% - Accent1" xfId="56"/>
    <cellStyle name="40% - Accent1 2 2" xfId="57"/>
    <cellStyle name="40% - Accent1 2 2 2" xfId="58"/>
    <cellStyle name="40% - Accent1 2 2 3" xfId="59"/>
    <cellStyle name="40% - Accent2" xfId="60"/>
    <cellStyle name="40% - Accent2 2 2" xfId="61"/>
    <cellStyle name="40% - Accent2 2 2 2" xfId="62"/>
    <cellStyle name="40% - Accent2 2 2 3" xfId="63"/>
    <cellStyle name="40% - Accent3" xfId="64"/>
    <cellStyle name="40% - Accent3 2 2" xfId="65"/>
    <cellStyle name="40% - Accent3 2 2 2" xfId="66"/>
    <cellStyle name="40% - Accent3 2 2 3" xfId="67"/>
    <cellStyle name="40% - Accent4" xfId="68"/>
    <cellStyle name="40% - Accent4 2 2" xfId="69"/>
    <cellStyle name="40% - Accent4 2 2 2" xfId="70"/>
    <cellStyle name="40% - Accent4 2 2 3" xfId="71"/>
    <cellStyle name="40% - Accent5" xfId="72"/>
    <cellStyle name="40% - Accent5 2 2" xfId="73"/>
    <cellStyle name="40% - Accent5 2 2 2" xfId="74"/>
    <cellStyle name="40% - Accent5 2 2 3" xfId="75"/>
    <cellStyle name="40% - Accent6" xfId="76"/>
    <cellStyle name="40% - Accent6 2 2" xfId="77"/>
    <cellStyle name="40% - Accent6 2 2 2" xfId="78"/>
    <cellStyle name="40% - Accent6 2 2 3" xfId="79"/>
    <cellStyle name="40% no 1. izcēluma 2" xfId="80"/>
    <cellStyle name="40% no 1. izcēluma" xfId="81"/>
    <cellStyle name="40% no 2. izcēluma 2" xfId="82"/>
    <cellStyle name="40% no 2. izcēluma" xfId="83"/>
    <cellStyle name="40% no 3. izcēluma 2" xfId="84"/>
    <cellStyle name="40% no 3. izcēluma" xfId="85"/>
    <cellStyle name="40% no 4. izcēluma 2" xfId="86"/>
    <cellStyle name="40% no 4. izcēluma" xfId="87"/>
    <cellStyle name="40% no 5. izcēluma 2" xfId="88"/>
    <cellStyle name="40% no 5. izcēluma" xfId="89"/>
    <cellStyle name="40% no 6. izcēluma 2" xfId="90"/>
    <cellStyle name="40% no 6. izcēluma" xfId="91"/>
    <cellStyle name="5. izcēlums 2" xfId="92"/>
    <cellStyle name="6. izcēlums 2" xfId="93"/>
    <cellStyle name="60% - Accent1" xfId="94"/>
    <cellStyle name="60% - Accent1 2 2" xfId="95"/>
    <cellStyle name="60% - Accent2" xfId="96"/>
    <cellStyle name="60% - Accent2 2 2" xfId="97"/>
    <cellStyle name="60% - Accent3" xfId="98"/>
    <cellStyle name="60% - Accent3 2 2" xfId="99"/>
    <cellStyle name="60% - Accent4" xfId="100"/>
    <cellStyle name="60% - Accent4 2 2" xfId="101"/>
    <cellStyle name="60% - Accent5" xfId="102"/>
    <cellStyle name="60% - Accent5 2 2" xfId="103"/>
    <cellStyle name="60% - Accent6" xfId="104"/>
    <cellStyle name="60% - Accent6 2 2" xfId="105"/>
    <cellStyle name="60% no 1. izcēluma 2" xfId="106"/>
    <cellStyle name="60% no 1. izcēluma" xfId="107"/>
    <cellStyle name="60% no 2. izcēluma 2" xfId="108"/>
    <cellStyle name="60% no 2. izcēluma" xfId="109"/>
    <cellStyle name="60% no 3. izcēluma 2" xfId="110"/>
    <cellStyle name="60% no 3. izcēluma" xfId="111"/>
    <cellStyle name="60% no 4. izcēluma 2" xfId="112"/>
    <cellStyle name="60% no 4. izcēluma" xfId="113"/>
    <cellStyle name="60% no 5. izcēluma 2" xfId="114"/>
    <cellStyle name="60% no 5. izcēluma" xfId="115"/>
    <cellStyle name="60% no 6. izcēluma 2" xfId="116"/>
    <cellStyle name="60% no 6. izcēluma" xfId="117"/>
    <cellStyle name="Accent1" xfId="118"/>
    <cellStyle name="Accent1 2 2" xfId="119"/>
    <cellStyle name="Accent2" xfId="120"/>
    <cellStyle name="Accent2 2 2" xfId="121"/>
    <cellStyle name="Accent3" xfId="122"/>
    <cellStyle name="Accent3 2 2" xfId="123"/>
    <cellStyle name="Accent4" xfId="124"/>
    <cellStyle name="Accent4 2 2" xfId="125"/>
    <cellStyle name="Accent5" xfId="126"/>
    <cellStyle name="Accent5 2 2" xfId="127"/>
    <cellStyle name="Accent6" xfId="128"/>
    <cellStyle name="Accent6 2 2" xfId="129"/>
    <cellStyle name="Aprēķināšana 2" xfId="130"/>
    <cellStyle name="Bad" xfId="131"/>
    <cellStyle name="Bad 2 2" xfId="132"/>
    <cellStyle name="Brīdinājuma teksts 2" xfId="133"/>
    <cellStyle name="Calculation" xfId="134"/>
    <cellStyle name="Calculation 2 2" xfId="135"/>
    <cellStyle name="Check Cell" xfId="136"/>
    <cellStyle name="Check Cell 2 2" xfId="137"/>
    <cellStyle name="Comma" xfId="138"/>
    <cellStyle name="Comma [0]" xfId="139"/>
    <cellStyle name="Currency" xfId="140"/>
    <cellStyle name="Currency [0]" xfId="141"/>
    <cellStyle name="Currency 2" xfId="142"/>
    <cellStyle name="Currency 2 2" xfId="143"/>
    <cellStyle name="Currency 2 2 2" xfId="144"/>
    <cellStyle name="Currency 2 3" xfId="145"/>
    <cellStyle name="Explanatory Text" xfId="146"/>
    <cellStyle name="Explanatory Text 2 2" xfId="147"/>
    <cellStyle name="Good" xfId="148"/>
    <cellStyle name="Good 2 2" xfId="149"/>
    <cellStyle name="Heading 1" xfId="150"/>
    <cellStyle name="Heading 1 2 2" xfId="151"/>
    <cellStyle name="Heading 2" xfId="152"/>
    <cellStyle name="Heading 2 2 2" xfId="153"/>
    <cellStyle name="Heading 3" xfId="154"/>
    <cellStyle name="Heading 3 2 2" xfId="155"/>
    <cellStyle name="Heading 4" xfId="156"/>
    <cellStyle name="Heading 4 2 2" xfId="157"/>
    <cellStyle name="Ievade 2" xfId="158"/>
    <cellStyle name="Input" xfId="159"/>
    <cellStyle name="Input 2 2" xfId="160"/>
    <cellStyle name="Izvade 2" xfId="161"/>
    <cellStyle name="Kopsumma 2" xfId="162"/>
    <cellStyle name="Labs 2" xfId="163"/>
    <cellStyle name="Linked Cell" xfId="164"/>
    <cellStyle name="Linked Cell 2 2" xfId="165"/>
    <cellStyle name="Neitrāls 2" xfId="166"/>
    <cellStyle name="Neutral" xfId="167"/>
    <cellStyle name="Neutral 2 2" xfId="168"/>
    <cellStyle name="Normal 10" xfId="169"/>
    <cellStyle name="Normal 10 2" xfId="170"/>
    <cellStyle name="Normal 10 2 2" xfId="171"/>
    <cellStyle name="Normal 10 3" xfId="172"/>
    <cellStyle name="Normal 11" xfId="173"/>
    <cellStyle name="Normal 11 2" xfId="174"/>
    <cellStyle name="Normal 11 2 2" xfId="175"/>
    <cellStyle name="Normal 11 3" xfId="176"/>
    <cellStyle name="Normal 12" xfId="177"/>
    <cellStyle name="Normal 12 2" xfId="178"/>
    <cellStyle name="Normal 12 2 2" xfId="179"/>
    <cellStyle name="Normal 12 3" xfId="180"/>
    <cellStyle name="Normal 13" xfId="181"/>
    <cellStyle name="Normal 13 2" xfId="182"/>
    <cellStyle name="Normal 13 2 2" xfId="183"/>
    <cellStyle name="Normal 13 3" xfId="184"/>
    <cellStyle name="Normal 14" xfId="185"/>
    <cellStyle name="Normal 14 2" xfId="186"/>
    <cellStyle name="Normal 14 2 2" xfId="187"/>
    <cellStyle name="Normal 14 3" xfId="188"/>
    <cellStyle name="Normal 15" xfId="189"/>
    <cellStyle name="Normal 15 2" xfId="190"/>
    <cellStyle name="Normal 15 2 2" xfId="191"/>
    <cellStyle name="Normal 15 3" xfId="192"/>
    <cellStyle name="Normal 16" xfId="193"/>
    <cellStyle name="Normal 16 2" xfId="194"/>
    <cellStyle name="Normal 16 2 2" xfId="195"/>
    <cellStyle name="Normal 16 3" xfId="196"/>
    <cellStyle name="Normal 18" xfId="197"/>
    <cellStyle name="Normal 18 2" xfId="198"/>
    <cellStyle name="Normal 2" xfId="199"/>
    <cellStyle name="Normal 2 2" xfId="200"/>
    <cellStyle name="Normal 2 2 2" xfId="201"/>
    <cellStyle name="Normal 2 3" xfId="202"/>
    <cellStyle name="Normal 2 3 2" xfId="203"/>
    <cellStyle name="Normal 20" xfId="204"/>
    <cellStyle name="Normal 20 2" xfId="205"/>
    <cellStyle name="Normal 20 2 2" xfId="206"/>
    <cellStyle name="Normal 20 3" xfId="207"/>
    <cellStyle name="Normal 21" xfId="208"/>
    <cellStyle name="Normal 21 2" xfId="209"/>
    <cellStyle name="Normal 21 2 2" xfId="210"/>
    <cellStyle name="Normal 21 3" xfId="211"/>
    <cellStyle name="Normal 3 2" xfId="212"/>
    <cellStyle name="Normal 3 2 2" xfId="213"/>
    <cellStyle name="Normal 4" xfId="214"/>
    <cellStyle name="Normal 4 2" xfId="215"/>
    <cellStyle name="Normal 4 2 2" xfId="216"/>
    <cellStyle name="Normal 4 3" xfId="217"/>
    <cellStyle name="Normal 4_7-4" xfId="218"/>
    <cellStyle name="Normal 5" xfId="219"/>
    <cellStyle name="Normal 5 2" xfId="220"/>
    <cellStyle name="Normal 5 2 2" xfId="221"/>
    <cellStyle name="Normal 8" xfId="222"/>
    <cellStyle name="Normal 8 2" xfId="223"/>
    <cellStyle name="Normal 8 2 2" xfId="224"/>
    <cellStyle name="Normal 8 3" xfId="225"/>
    <cellStyle name="Normal 9" xfId="226"/>
    <cellStyle name="Normal 9 2" xfId="227"/>
    <cellStyle name="Normal 9 2 2" xfId="228"/>
    <cellStyle name="Normal 9 3" xfId="229"/>
    <cellStyle name="Normal_2009.g plāns apst 2" xfId="230"/>
    <cellStyle name="Normal_2009.g plāns apst 3" xfId="231"/>
    <cellStyle name="Normal_PROJEKTI_2016_PLĀNS_Aija un Inese" xfId="232"/>
    <cellStyle name="Normal_PROJEKTI_2016_PLĀNS_Aija un Inese 2" xfId="233"/>
    <cellStyle name="Normal_Sheet1" xfId="234"/>
    <cellStyle name="Normal_Sheet1_Pielikumi oktobra korekcijam 2" xfId="235"/>
    <cellStyle name="Normal_Specb.2009.g. decembra korekcijas saīsin." xfId="236"/>
    <cellStyle name="Normal_Specb.ziedoj.un davin. 2011.g. decembra korekcijas" xfId="237"/>
    <cellStyle name="Normal_Specbudz.kopsavilkums 2006.g un korekc." xfId="238"/>
    <cellStyle name="Normal_Specbudz.kopsavilkums 2006.g un korekc. 2" xfId="239"/>
    <cellStyle name="Nosaukums 2" xfId="240"/>
    <cellStyle name="Note" xfId="241"/>
    <cellStyle name="Note 2 2" xfId="242"/>
    <cellStyle name="Note 2 2 2" xfId="243"/>
    <cellStyle name="Output" xfId="244"/>
    <cellStyle name="Output 2 2" xfId="245"/>
    <cellStyle name="Parastais_FMLikp01_p05_221205_pap_afp_makp" xfId="246"/>
    <cellStyle name="Parasts 2" xfId="247"/>
    <cellStyle name="Parasts 2 2" xfId="248"/>
    <cellStyle name="Parasts 2 2 2" xfId="249"/>
    <cellStyle name="Parasts 2_2016.g. Ieņēmumu un izdevumu plāns" xfId="250"/>
    <cellStyle name="Parasts 3" xfId="251"/>
    <cellStyle name="Parasts 3 2" xfId="252"/>
    <cellStyle name="Parasts 4" xfId="253"/>
    <cellStyle name="Paskaidrojošs teksts 2" xfId="254"/>
    <cellStyle name="Pārbaudes šūna 2" xfId="255"/>
    <cellStyle name="Percent" xfId="256"/>
    <cellStyle name="Percent 2" xfId="257"/>
    <cellStyle name="Piezīme 2" xfId="258"/>
    <cellStyle name="Piezīme 2 2" xfId="259"/>
    <cellStyle name="Procenti 2" xfId="260"/>
    <cellStyle name="Procenti 3" xfId="261"/>
    <cellStyle name="Procenti 4" xfId="262"/>
    <cellStyle name="Saistīta šūna 2" xfId="263"/>
    <cellStyle name="Saistītā šūna" xfId="264"/>
    <cellStyle name="Slikts 2" xfId="265"/>
    <cellStyle name="Style 1" xfId="266"/>
    <cellStyle name="Style 1 2" xfId="267"/>
    <cellStyle name="Title" xfId="268"/>
    <cellStyle name="Title 2 2" xfId="269"/>
    <cellStyle name="Total" xfId="270"/>
    <cellStyle name="Total 2 2" xfId="271"/>
    <cellStyle name="V?st." xfId="272"/>
    <cellStyle name="Virsraksts 1 2" xfId="273"/>
    <cellStyle name="Virsraksts 2 2" xfId="274"/>
    <cellStyle name="Virsraksts 3 2" xfId="275"/>
    <cellStyle name="Virsraksts 4 2" xfId="276"/>
    <cellStyle name="Warning Text" xfId="277"/>
    <cellStyle name="Warning Text 2 2" xfId="2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zedzele\AppData\Local\Microsoft\Windows\INetCache\Content.Outlook\VP4LD36I\KOPSAVILKUMS_bud&#382;eta%20t&#257;me_2018.gadam_LAUBE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maksas PB pa smalkajiem EKK"/>
      <sheetName val="Izmaksas PB pa lielajiem EKK"/>
      <sheetName val="Pamatbudžets   "/>
      <sheetName val="Specbudžets"/>
      <sheetName val="Specb pa veidiem"/>
      <sheetName val="Sheet3"/>
    </sheetNames>
    <sheetDataSet>
      <sheetData sheetId="1">
        <row r="4">
          <cell r="D4">
            <v>291365</v>
          </cell>
        </row>
        <row r="5">
          <cell r="D5">
            <v>85687</v>
          </cell>
        </row>
        <row r="7">
          <cell r="D7">
            <v>635</v>
          </cell>
        </row>
        <row r="8">
          <cell r="D8">
            <v>209354</v>
          </cell>
        </row>
        <row r="9">
          <cell r="D9">
            <v>133325</v>
          </cell>
        </row>
        <row r="10">
          <cell r="D10">
            <v>950</v>
          </cell>
        </row>
        <row r="11">
          <cell r="D11">
            <v>8950</v>
          </cell>
        </row>
        <row r="14">
          <cell r="D14">
            <v>100</v>
          </cell>
        </row>
        <row r="15">
          <cell r="D15">
            <v>750</v>
          </cell>
        </row>
        <row r="16">
          <cell r="D16">
            <v>10200</v>
          </cell>
        </row>
        <row r="18">
          <cell r="D18">
            <v>28016</v>
          </cell>
        </row>
        <row r="19">
          <cell r="D19">
            <v>5500</v>
          </cell>
        </row>
        <row r="20">
          <cell r="D20">
            <v>10735</v>
          </cell>
        </row>
        <row r="21">
          <cell r="D21">
            <v>7896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8"/>
  <sheetViews>
    <sheetView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58" sqref="F58"/>
    </sheetView>
  </sheetViews>
  <sheetFormatPr defaultColWidth="9.140625" defaultRowHeight="12.75" outlineLevelCol="1"/>
  <cols>
    <col min="1" max="1" width="11.7109375" style="10" customWidth="1"/>
    <col min="2" max="2" width="41.00390625" style="11" customWidth="1"/>
    <col min="3" max="3" width="11.57421875" style="11" hidden="1" customWidth="1" outlineLevel="1"/>
    <col min="4" max="4" width="11.421875" style="12" customWidth="1" collapsed="1"/>
    <col min="5" max="5" width="11.00390625" style="13" customWidth="1"/>
    <col min="6" max="6" width="11.00390625" style="10" customWidth="1"/>
    <col min="7" max="7" width="9.421875" style="10" customWidth="1"/>
    <col min="8" max="8" width="10.140625" style="10" customWidth="1"/>
    <col min="9" max="9" width="9.57421875" style="10" customWidth="1"/>
    <col min="10" max="10" width="10.00390625" style="10" customWidth="1"/>
    <col min="11" max="11" width="10.7109375" style="10" customWidth="1"/>
    <col min="12" max="12" width="10.00390625" style="10" customWidth="1"/>
    <col min="13" max="13" width="9.7109375" style="10" customWidth="1"/>
    <col min="14" max="14" width="10.421875" style="10" customWidth="1"/>
    <col min="15" max="15" width="10.28125" style="10" customWidth="1"/>
    <col min="16" max="16" width="11.7109375" style="15" customWidth="1"/>
    <col min="17" max="16384" width="9.140625" style="10" customWidth="1"/>
  </cols>
  <sheetData>
    <row r="1" spans="6:7" ht="15">
      <c r="F1" s="14" t="s">
        <v>128</v>
      </c>
      <c r="G1" s="14"/>
    </row>
    <row r="2" spans="1:7" ht="15">
      <c r="A2" s="16"/>
      <c r="F2" s="16" t="s">
        <v>0</v>
      </c>
      <c r="G2" s="16"/>
    </row>
    <row r="3" spans="1:7" ht="15">
      <c r="A3" s="16"/>
      <c r="F3" s="16" t="s">
        <v>516</v>
      </c>
      <c r="G3" s="16"/>
    </row>
    <row r="5" spans="1:5" ht="20.25">
      <c r="A5" s="541" t="s">
        <v>504</v>
      </c>
      <c r="B5" s="541"/>
      <c r="C5" s="541"/>
      <c r="D5" s="541"/>
      <c r="E5" s="541"/>
    </row>
    <row r="6" spans="1:14" ht="15.75" thickBot="1">
      <c r="A6" s="16"/>
      <c r="B6" s="17"/>
      <c r="C6" s="17"/>
      <c r="D6" s="18"/>
      <c r="N6" s="19"/>
    </row>
    <row r="7" spans="1:16" ht="102.75" customHeight="1" thickBot="1">
      <c r="A7" s="20" t="s">
        <v>1</v>
      </c>
      <c r="B7" s="21" t="s">
        <v>144</v>
      </c>
      <c r="C7" s="22" t="s">
        <v>471</v>
      </c>
      <c r="D7" s="23" t="s">
        <v>446</v>
      </c>
      <c r="E7" s="24" t="s">
        <v>447</v>
      </c>
      <c r="F7" s="22" t="s">
        <v>448</v>
      </c>
      <c r="G7" s="22" t="s">
        <v>449</v>
      </c>
      <c r="H7" s="25" t="s">
        <v>450</v>
      </c>
      <c r="I7" s="25" t="s">
        <v>451</v>
      </c>
      <c r="J7" s="25" t="s">
        <v>452</v>
      </c>
      <c r="K7" s="25" t="s">
        <v>453</v>
      </c>
      <c r="L7" s="25" t="s">
        <v>454</v>
      </c>
      <c r="M7" s="25" t="s">
        <v>455</v>
      </c>
      <c r="N7" s="25" t="s">
        <v>456</v>
      </c>
      <c r="O7" s="26" t="s">
        <v>457</v>
      </c>
      <c r="P7" s="27" t="s">
        <v>458</v>
      </c>
    </row>
    <row r="8" spans="1:16" ht="15.75" thickBot="1">
      <c r="A8" s="28"/>
      <c r="B8" s="29" t="s">
        <v>20</v>
      </c>
      <c r="C8" s="30">
        <f>C9+C12+C17</f>
        <v>25280888</v>
      </c>
      <c r="D8" s="30">
        <f>D9+D12+D17</f>
        <v>25422387</v>
      </c>
      <c r="E8" s="30">
        <f aca="true" t="shared" si="0" ref="E8:O8">E9+E12+E17</f>
        <v>0</v>
      </c>
      <c r="F8" s="30">
        <f t="shared" si="0"/>
        <v>0</v>
      </c>
      <c r="G8" s="8">
        <f t="shared" si="0"/>
        <v>0</v>
      </c>
      <c r="H8" s="30">
        <f t="shared" si="0"/>
        <v>101800</v>
      </c>
      <c r="I8" s="30">
        <f>I9+I12+I17</f>
        <v>47270</v>
      </c>
      <c r="J8" s="30">
        <f>J9+J12+J17</f>
        <v>44700</v>
      </c>
      <c r="K8" s="30">
        <f t="shared" si="0"/>
        <v>89302</v>
      </c>
      <c r="L8" s="30">
        <f t="shared" si="0"/>
        <v>49000</v>
      </c>
      <c r="M8" s="30">
        <f t="shared" si="0"/>
        <v>40169</v>
      </c>
      <c r="N8" s="30">
        <f t="shared" si="0"/>
        <v>41919</v>
      </c>
      <c r="O8" s="30">
        <f t="shared" si="0"/>
        <v>52730</v>
      </c>
      <c r="P8" s="31">
        <f aca="true" t="shared" si="1" ref="P8:P48">SUM(D8:O8)</f>
        <v>25889277</v>
      </c>
    </row>
    <row r="9" spans="1:16" ht="15">
      <c r="A9" s="32" t="s">
        <v>21</v>
      </c>
      <c r="B9" s="33" t="s">
        <v>145</v>
      </c>
      <c r="C9" s="34">
        <f>SUM(C10:C11)</f>
        <v>22958361</v>
      </c>
      <c r="D9" s="34">
        <f>SUM(D10:D11)</f>
        <v>23718601</v>
      </c>
      <c r="E9" s="34">
        <f aca="true" t="shared" si="2" ref="E9:O9">SUM(E10:E11)</f>
        <v>0</v>
      </c>
      <c r="F9" s="34">
        <f t="shared" si="2"/>
        <v>0</v>
      </c>
      <c r="G9" s="35">
        <f t="shared" si="2"/>
        <v>0</v>
      </c>
      <c r="H9" s="34">
        <f t="shared" si="2"/>
        <v>0</v>
      </c>
      <c r="I9" s="34">
        <f t="shared" si="2"/>
        <v>0</v>
      </c>
      <c r="J9" s="34">
        <f t="shared" si="2"/>
        <v>0</v>
      </c>
      <c r="K9" s="34">
        <f t="shared" si="2"/>
        <v>0</v>
      </c>
      <c r="L9" s="34">
        <f t="shared" si="2"/>
        <v>0</v>
      </c>
      <c r="M9" s="34">
        <f t="shared" si="2"/>
        <v>0</v>
      </c>
      <c r="N9" s="34">
        <f t="shared" si="2"/>
        <v>0</v>
      </c>
      <c r="O9" s="34">
        <f t="shared" si="2"/>
        <v>0</v>
      </c>
      <c r="P9" s="36">
        <f t="shared" si="1"/>
        <v>23718601</v>
      </c>
    </row>
    <row r="10" spans="1:16" ht="45">
      <c r="A10" s="37" t="s">
        <v>171</v>
      </c>
      <c r="B10" s="38" t="s">
        <v>172</v>
      </c>
      <c r="C10" s="38"/>
      <c r="D10" s="39">
        <v>176450</v>
      </c>
      <c r="E10" s="39"/>
      <c r="F10" s="39"/>
      <c r="G10" s="1"/>
      <c r="H10" s="39"/>
      <c r="I10" s="39"/>
      <c r="J10" s="39"/>
      <c r="K10" s="39"/>
      <c r="L10" s="39"/>
      <c r="M10" s="39"/>
      <c r="N10" s="39"/>
      <c r="O10" s="39"/>
      <c r="P10" s="36">
        <f t="shared" si="1"/>
        <v>176450</v>
      </c>
    </row>
    <row r="11" spans="1:16" ht="30">
      <c r="A11" s="37" t="s">
        <v>173</v>
      </c>
      <c r="B11" s="38" t="s">
        <v>174</v>
      </c>
      <c r="C11" s="38">
        <v>22958361</v>
      </c>
      <c r="D11" s="39">
        <v>23542151</v>
      </c>
      <c r="E11" s="39"/>
      <c r="F11" s="40"/>
      <c r="G11" s="1"/>
      <c r="H11" s="39"/>
      <c r="I11" s="39"/>
      <c r="J11" s="39"/>
      <c r="K11" s="39"/>
      <c r="L11" s="39"/>
      <c r="M11" s="39"/>
      <c r="N11" s="39"/>
      <c r="O11" s="39"/>
      <c r="P11" s="36">
        <f t="shared" si="1"/>
        <v>23542151</v>
      </c>
    </row>
    <row r="12" spans="1:16" ht="15">
      <c r="A12" s="41" t="s">
        <v>146</v>
      </c>
      <c r="B12" s="38" t="s">
        <v>147</v>
      </c>
      <c r="C12" s="39">
        <f>C13</f>
        <v>2251391</v>
      </c>
      <c r="D12" s="39">
        <f>D13</f>
        <v>1633786</v>
      </c>
      <c r="E12" s="39"/>
      <c r="F12" s="39"/>
      <c r="G12" s="1"/>
      <c r="H12" s="39">
        <f>H13</f>
        <v>101800</v>
      </c>
      <c r="I12" s="42">
        <f aca="true" t="shared" si="3" ref="I12:O12">I13</f>
        <v>47270</v>
      </c>
      <c r="J12" s="42">
        <f t="shared" si="3"/>
        <v>44700</v>
      </c>
      <c r="K12" s="42">
        <f t="shared" si="3"/>
        <v>89302</v>
      </c>
      <c r="L12" s="42">
        <f t="shared" si="3"/>
        <v>49000</v>
      </c>
      <c r="M12" s="42">
        <f t="shared" si="3"/>
        <v>40169</v>
      </c>
      <c r="N12" s="42">
        <f t="shared" si="3"/>
        <v>41919</v>
      </c>
      <c r="O12" s="42">
        <f t="shared" si="3"/>
        <v>52730</v>
      </c>
      <c r="P12" s="36">
        <f t="shared" si="1"/>
        <v>2100676</v>
      </c>
    </row>
    <row r="13" spans="1:16" ht="15">
      <c r="A13" s="41" t="s">
        <v>22</v>
      </c>
      <c r="B13" s="38" t="s">
        <v>23</v>
      </c>
      <c r="C13" s="39">
        <f>SUM(C14:C16)</f>
        <v>2251391</v>
      </c>
      <c r="D13" s="39">
        <f>SUM(D14:D16)</f>
        <v>1633786</v>
      </c>
      <c r="E13" s="39"/>
      <c r="F13" s="39"/>
      <c r="G13" s="1"/>
      <c r="H13" s="39">
        <f>SUM(H14:H16)</f>
        <v>101800</v>
      </c>
      <c r="I13" s="39">
        <f aca="true" t="shared" si="4" ref="I13:O13">SUM(I14:I16)</f>
        <v>47270</v>
      </c>
      <c r="J13" s="39">
        <f t="shared" si="4"/>
        <v>44700</v>
      </c>
      <c r="K13" s="39">
        <f>SUM(K14:K16)</f>
        <v>89302</v>
      </c>
      <c r="L13" s="39">
        <f t="shared" si="4"/>
        <v>49000</v>
      </c>
      <c r="M13" s="39">
        <f t="shared" si="4"/>
        <v>40169</v>
      </c>
      <c r="N13" s="39">
        <f t="shared" si="4"/>
        <v>41919</v>
      </c>
      <c r="O13" s="39">
        <f t="shared" si="4"/>
        <v>52730</v>
      </c>
      <c r="P13" s="36">
        <f t="shared" si="1"/>
        <v>2100676</v>
      </c>
    </row>
    <row r="14" spans="1:16" ht="15">
      <c r="A14" s="37" t="s">
        <v>2</v>
      </c>
      <c r="B14" s="38" t="s">
        <v>24</v>
      </c>
      <c r="C14" s="43">
        <v>1287367</v>
      </c>
      <c r="D14" s="42">
        <v>752703</v>
      </c>
      <c r="E14" s="44"/>
      <c r="F14" s="44"/>
      <c r="G14" s="45"/>
      <c r="H14" s="9">
        <v>90500</v>
      </c>
      <c r="I14" s="44">
        <v>42360</v>
      </c>
      <c r="J14" s="9">
        <v>40000</v>
      </c>
      <c r="K14" s="44">
        <v>81121</v>
      </c>
      <c r="L14" s="44">
        <v>45000</v>
      </c>
      <c r="M14" s="46">
        <v>37623</v>
      </c>
      <c r="N14" s="46">
        <v>40439</v>
      </c>
      <c r="O14" s="44">
        <v>50228</v>
      </c>
      <c r="P14" s="36">
        <f t="shared" si="1"/>
        <v>1179974</v>
      </c>
    </row>
    <row r="15" spans="1:16" ht="15">
      <c r="A15" s="37" t="s">
        <v>3</v>
      </c>
      <c r="B15" s="38" t="s">
        <v>25</v>
      </c>
      <c r="C15" s="43">
        <v>556540</v>
      </c>
      <c r="D15" s="42">
        <v>541052</v>
      </c>
      <c r="E15" s="44"/>
      <c r="F15" s="44"/>
      <c r="G15" s="45"/>
      <c r="H15" s="9">
        <v>4950</v>
      </c>
      <c r="I15" s="44">
        <v>2950</v>
      </c>
      <c r="J15" s="9">
        <v>2200</v>
      </c>
      <c r="K15" s="44">
        <v>3370</v>
      </c>
      <c r="L15" s="44">
        <v>4000</v>
      </c>
      <c r="M15" s="44">
        <v>2546</v>
      </c>
      <c r="N15" s="44">
        <v>256</v>
      </c>
      <c r="O15" s="44">
        <v>402</v>
      </c>
      <c r="P15" s="36">
        <f t="shared" si="1"/>
        <v>561726</v>
      </c>
    </row>
    <row r="16" spans="1:16" ht="15">
      <c r="A16" s="37" t="s">
        <v>279</v>
      </c>
      <c r="B16" s="38" t="s">
        <v>280</v>
      </c>
      <c r="C16" s="43">
        <v>407484</v>
      </c>
      <c r="D16" s="42">
        <v>340031</v>
      </c>
      <c r="E16" s="44"/>
      <c r="F16" s="44"/>
      <c r="G16" s="45"/>
      <c r="H16" s="9">
        <v>6350</v>
      </c>
      <c r="I16" s="44">
        <v>1960</v>
      </c>
      <c r="J16" s="9">
        <v>2500</v>
      </c>
      <c r="K16" s="44">
        <v>4811</v>
      </c>
      <c r="L16" s="44"/>
      <c r="M16" s="44"/>
      <c r="N16" s="44">
        <v>1224</v>
      </c>
      <c r="O16" s="44">
        <v>2100</v>
      </c>
      <c r="P16" s="36">
        <f t="shared" si="1"/>
        <v>358976</v>
      </c>
    </row>
    <row r="17" spans="1:16" ht="15.75" thickBot="1">
      <c r="A17" s="47" t="s">
        <v>4</v>
      </c>
      <c r="B17" s="48" t="s">
        <v>26</v>
      </c>
      <c r="C17" s="48">
        <v>71136</v>
      </c>
      <c r="D17" s="49">
        <v>70000</v>
      </c>
      <c r="E17" s="49"/>
      <c r="F17" s="49"/>
      <c r="G17" s="50"/>
      <c r="H17" s="51"/>
      <c r="I17" s="51"/>
      <c r="J17" s="51"/>
      <c r="K17" s="52"/>
      <c r="L17" s="52"/>
      <c r="M17" s="52"/>
      <c r="N17" s="52"/>
      <c r="O17" s="53"/>
      <c r="P17" s="54">
        <f t="shared" si="1"/>
        <v>70000</v>
      </c>
    </row>
    <row r="18" spans="1:16" ht="15.75" thickBot="1">
      <c r="A18" s="28"/>
      <c r="B18" s="29" t="s">
        <v>27</v>
      </c>
      <c r="C18" s="30">
        <f>SUM(C20:C26)</f>
        <v>155893</v>
      </c>
      <c r="D18" s="30">
        <f>SUM(D19:D26)</f>
        <v>143620</v>
      </c>
      <c r="E18" s="30">
        <f aca="true" t="shared" si="5" ref="E18:O18">SUM(E19:E26)</f>
        <v>2400</v>
      </c>
      <c r="F18" s="30">
        <f t="shared" si="5"/>
        <v>0</v>
      </c>
      <c r="G18" s="30">
        <f t="shared" si="5"/>
        <v>0</v>
      </c>
      <c r="H18" s="30">
        <f t="shared" si="5"/>
        <v>2200</v>
      </c>
      <c r="I18" s="30">
        <f t="shared" si="5"/>
        <v>3300</v>
      </c>
      <c r="J18" s="30">
        <f t="shared" si="5"/>
        <v>150</v>
      </c>
      <c r="K18" s="30">
        <f t="shared" si="5"/>
        <v>4808</v>
      </c>
      <c r="L18" s="30">
        <f t="shared" si="5"/>
        <v>40</v>
      </c>
      <c r="M18" s="30">
        <f t="shared" si="5"/>
        <v>1640</v>
      </c>
      <c r="N18" s="30">
        <f t="shared" si="5"/>
        <v>1100</v>
      </c>
      <c r="O18" s="30">
        <f t="shared" si="5"/>
        <v>129</v>
      </c>
      <c r="P18" s="31">
        <f t="shared" si="1"/>
        <v>159387</v>
      </c>
    </row>
    <row r="19" spans="1:16" ht="15">
      <c r="A19" s="32" t="s">
        <v>498</v>
      </c>
      <c r="B19" s="55" t="s">
        <v>499</v>
      </c>
      <c r="C19" s="56"/>
      <c r="D19" s="3">
        <v>60000</v>
      </c>
      <c r="E19" s="56"/>
      <c r="F19" s="56"/>
      <c r="G19" s="57"/>
      <c r="H19" s="56"/>
      <c r="I19" s="57"/>
      <c r="J19" s="57"/>
      <c r="K19" s="57"/>
      <c r="L19" s="57"/>
      <c r="M19" s="57"/>
      <c r="N19" s="57"/>
      <c r="O19" s="57"/>
      <c r="P19" s="36">
        <f t="shared" si="1"/>
        <v>60000</v>
      </c>
    </row>
    <row r="20" spans="1:16" ht="30">
      <c r="A20" s="32" t="s">
        <v>175</v>
      </c>
      <c r="B20" s="33" t="s">
        <v>176</v>
      </c>
      <c r="C20" s="33">
        <v>303</v>
      </c>
      <c r="D20" s="34"/>
      <c r="E20" s="34"/>
      <c r="F20" s="34"/>
      <c r="G20" s="35"/>
      <c r="H20" s="58"/>
      <c r="I20" s="58"/>
      <c r="J20" s="59"/>
      <c r="K20" s="59">
        <v>150</v>
      </c>
      <c r="L20" s="59"/>
      <c r="M20" s="59"/>
      <c r="N20" s="59"/>
      <c r="O20" s="60"/>
      <c r="P20" s="36">
        <f t="shared" si="1"/>
        <v>150</v>
      </c>
    </row>
    <row r="21" spans="1:16" ht="30">
      <c r="A21" s="41" t="s">
        <v>28</v>
      </c>
      <c r="B21" s="38" t="s">
        <v>29</v>
      </c>
      <c r="C21" s="38">
        <v>15016</v>
      </c>
      <c r="D21" s="39">
        <v>10920</v>
      </c>
      <c r="E21" s="39"/>
      <c r="F21" s="39"/>
      <c r="G21" s="1"/>
      <c r="H21" s="46"/>
      <c r="I21" s="46">
        <v>200</v>
      </c>
      <c r="J21" s="61">
        <v>150</v>
      </c>
      <c r="K21" s="61">
        <v>2200</v>
      </c>
      <c r="L21" s="61">
        <v>40</v>
      </c>
      <c r="M21" s="61">
        <v>240</v>
      </c>
      <c r="N21" s="61">
        <v>300</v>
      </c>
      <c r="O21" s="62">
        <v>100</v>
      </c>
      <c r="P21" s="36">
        <f t="shared" si="1"/>
        <v>14150</v>
      </c>
    </row>
    <row r="22" spans="1:16" ht="15">
      <c r="A22" s="41" t="s">
        <v>6</v>
      </c>
      <c r="B22" s="38" t="s">
        <v>5</v>
      </c>
      <c r="C22" s="38">
        <v>23636</v>
      </c>
      <c r="D22" s="39">
        <v>16200</v>
      </c>
      <c r="E22" s="39">
        <v>2400</v>
      </c>
      <c r="F22" s="39"/>
      <c r="G22" s="1"/>
      <c r="H22" s="46">
        <v>2000</v>
      </c>
      <c r="I22" s="46">
        <v>100</v>
      </c>
      <c r="J22" s="61"/>
      <c r="K22" s="61">
        <v>1658</v>
      </c>
      <c r="L22" s="61"/>
      <c r="M22" s="61">
        <v>200</v>
      </c>
      <c r="N22" s="61">
        <v>100</v>
      </c>
      <c r="O22" s="62">
        <v>29</v>
      </c>
      <c r="P22" s="36">
        <f t="shared" si="1"/>
        <v>22687</v>
      </c>
    </row>
    <row r="23" spans="1:16" ht="15">
      <c r="A23" s="41" t="s">
        <v>339</v>
      </c>
      <c r="B23" s="38" t="s">
        <v>356</v>
      </c>
      <c r="C23" s="38"/>
      <c r="D23" s="39"/>
      <c r="E23" s="39"/>
      <c r="F23" s="39"/>
      <c r="G23" s="1"/>
      <c r="H23" s="46"/>
      <c r="I23" s="46"/>
      <c r="J23" s="61"/>
      <c r="K23" s="61"/>
      <c r="L23" s="61"/>
      <c r="M23" s="61"/>
      <c r="N23" s="61"/>
      <c r="O23" s="62"/>
      <c r="P23" s="36">
        <f t="shared" si="1"/>
        <v>0</v>
      </c>
    </row>
    <row r="24" spans="1:16" ht="15">
      <c r="A24" s="41" t="s">
        <v>177</v>
      </c>
      <c r="B24" s="38" t="s">
        <v>143</v>
      </c>
      <c r="C24" s="38">
        <v>38071</v>
      </c>
      <c r="D24" s="39">
        <v>31000</v>
      </c>
      <c r="E24" s="39"/>
      <c r="F24" s="39"/>
      <c r="G24" s="1"/>
      <c r="H24" s="46">
        <v>200</v>
      </c>
      <c r="I24" s="46"/>
      <c r="J24" s="61"/>
      <c r="K24" s="61">
        <v>800</v>
      </c>
      <c r="L24" s="61"/>
      <c r="M24" s="61"/>
      <c r="N24" s="61"/>
      <c r="O24" s="62"/>
      <c r="P24" s="36">
        <f t="shared" si="1"/>
        <v>32000</v>
      </c>
    </row>
    <row r="25" spans="1:16" ht="15">
      <c r="A25" s="41" t="s">
        <v>506</v>
      </c>
      <c r="B25" s="38" t="s">
        <v>30</v>
      </c>
      <c r="C25" s="38">
        <v>30466</v>
      </c>
      <c r="D25" s="39">
        <v>25500</v>
      </c>
      <c r="E25" s="39"/>
      <c r="F25" s="39"/>
      <c r="G25" s="1"/>
      <c r="H25" s="46"/>
      <c r="I25" s="46">
        <v>3000</v>
      </c>
      <c r="J25" s="61"/>
      <c r="K25" s="61"/>
      <c r="L25" s="61"/>
      <c r="M25" s="61"/>
      <c r="N25" s="61">
        <v>700</v>
      </c>
      <c r="O25" s="62"/>
      <c r="P25" s="36">
        <f t="shared" si="1"/>
        <v>29200</v>
      </c>
    </row>
    <row r="26" spans="1:16" ht="27.75" customHeight="1">
      <c r="A26" s="41" t="s">
        <v>31</v>
      </c>
      <c r="B26" s="38" t="s">
        <v>126</v>
      </c>
      <c r="C26" s="38">
        <v>48401</v>
      </c>
      <c r="D26" s="39"/>
      <c r="E26" s="39"/>
      <c r="F26" s="39"/>
      <c r="G26" s="1"/>
      <c r="H26" s="39"/>
      <c r="I26" s="1"/>
      <c r="J26" s="1"/>
      <c r="K26" s="61"/>
      <c r="L26" s="1"/>
      <c r="M26" s="61">
        <v>1200</v>
      </c>
      <c r="N26" s="1"/>
      <c r="O26" s="1"/>
      <c r="P26" s="36">
        <f t="shared" si="1"/>
        <v>1200</v>
      </c>
    </row>
    <row r="27" spans="1:16" ht="58.5" thickBot="1">
      <c r="A27" s="63" t="s">
        <v>285</v>
      </c>
      <c r="B27" s="64" t="s">
        <v>286</v>
      </c>
      <c r="C27" s="64">
        <v>2700</v>
      </c>
      <c r="D27" s="65">
        <v>12487</v>
      </c>
      <c r="E27" s="65"/>
      <c r="F27" s="65"/>
      <c r="G27" s="66"/>
      <c r="H27" s="65"/>
      <c r="I27" s="66"/>
      <c r="J27" s="66"/>
      <c r="K27" s="67"/>
      <c r="L27" s="66"/>
      <c r="M27" s="67"/>
      <c r="N27" s="66"/>
      <c r="O27" s="66"/>
      <c r="P27" s="36">
        <f t="shared" si="1"/>
        <v>12487</v>
      </c>
    </row>
    <row r="28" spans="1:16" ht="15.75" thickBot="1">
      <c r="A28" s="68" t="s">
        <v>32</v>
      </c>
      <c r="B28" s="29" t="s">
        <v>120</v>
      </c>
      <c r="C28" s="30">
        <f aca="true" t="shared" si="6" ref="C28:O28">SUM(C29:C29)</f>
        <v>12514465</v>
      </c>
      <c r="D28" s="30">
        <f>SUM(D29:D29)</f>
        <v>12700815</v>
      </c>
      <c r="E28" s="30">
        <f t="shared" si="6"/>
        <v>0</v>
      </c>
      <c r="F28" s="30">
        <f t="shared" si="6"/>
        <v>0</v>
      </c>
      <c r="G28" s="8">
        <f t="shared" si="6"/>
        <v>0</v>
      </c>
      <c r="H28" s="30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45149</v>
      </c>
      <c r="L28" s="30">
        <f t="shared" si="6"/>
        <v>0</v>
      </c>
      <c r="M28" s="30">
        <f t="shared" si="6"/>
        <v>6740</v>
      </c>
      <c r="N28" s="30">
        <f t="shared" si="6"/>
        <v>0</v>
      </c>
      <c r="O28" s="30">
        <f t="shared" si="6"/>
        <v>0</v>
      </c>
      <c r="P28" s="31">
        <f t="shared" si="1"/>
        <v>12752704</v>
      </c>
    </row>
    <row r="29" spans="1:16" ht="30.75" thickBot="1">
      <c r="A29" s="69" t="s">
        <v>190</v>
      </c>
      <c r="B29" s="70" t="s">
        <v>191</v>
      </c>
      <c r="C29" s="33">
        <v>12514465</v>
      </c>
      <c r="D29" s="34">
        <f>12655477+45338</f>
        <v>12700815</v>
      </c>
      <c r="E29" s="34"/>
      <c r="F29" s="34"/>
      <c r="G29" s="35"/>
      <c r="H29" s="34"/>
      <c r="I29" s="35"/>
      <c r="J29" s="35"/>
      <c r="K29" s="35">
        <v>45149</v>
      </c>
      <c r="L29" s="35"/>
      <c r="M29" s="35">
        <v>6740</v>
      </c>
      <c r="N29" s="35"/>
      <c r="O29" s="35"/>
      <c r="P29" s="36">
        <f t="shared" si="1"/>
        <v>12752704</v>
      </c>
    </row>
    <row r="30" spans="1:16" ht="15.75" thickBot="1">
      <c r="A30" s="68" t="s">
        <v>33</v>
      </c>
      <c r="B30" s="29" t="s">
        <v>34</v>
      </c>
      <c r="C30" s="8">
        <f>SUM(C31:C33)</f>
        <v>753076</v>
      </c>
      <c r="D30" s="8">
        <f>SUM(D31:D33)</f>
        <v>600000</v>
      </c>
      <c r="E30" s="8">
        <f aca="true" t="shared" si="7" ref="E30:O30">SUM(E31:E33)</f>
        <v>0</v>
      </c>
      <c r="F30" s="8">
        <f t="shared" si="7"/>
        <v>0</v>
      </c>
      <c r="G30" s="8">
        <f t="shared" si="7"/>
        <v>0</v>
      </c>
      <c r="H30" s="30">
        <f t="shared" si="7"/>
        <v>0</v>
      </c>
      <c r="I30" s="30">
        <f t="shared" si="7"/>
        <v>54915</v>
      </c>
      <c r="J30" s="30">
        <f t="shared" si="7"/>
        <v>0</v>
      </c>
      <c r="K30" s="30">
        <f t="shared" si="7"/>
        <v>150416</v>
      </c>
      <c r="L30" s="30">
        <f t="shared" si="7"/>
        <v>0</v>
      </c>
      <c r="M30" s="30">
        <f t="shared" si="7"/>
        <v>0</v>
      </c>
      <c r="N30" s="30">
        <f t="shared" si="7"/>
        <v>0</v>
      </c>
      <c r="O30" s="30">
        <f t="shared" si="7"/>
        <v>0</v>
      </c>
      <c r="P30" s="31">
        <f t="shared" si="1"/>
        <v>805331</v>
      </c>
    </row>
    <row r="31" spans="1:16" ht="30">
      <c r="A31" s="32" t="s">
        <v>148</v>
      </c>
      <c r="B31" s="33" t="s">
        <v>192</v>
      </c>
      <c r="C31" s="71"/>
      <c r="D31" s="35"/>
      <c r="E31" s="35"/>
      <c r="F31" s="35"/>
      <c r="G31" s="35"/>
      <c r="H31" s="34"/>
      <c r="I31" s="35"/>
      <c r="J31" s="35"/>
      <c r="K31" s="35"/>
      <c r="L31" s="35"/>
      <c r="M31" s="35"/>
      <c r="N31" s="35"/>
      <c r="O31" s="35"/>
      <c r="P31" s="36">
        <f t="shared" si="1"/>
        <v>0</v>
      </c>
    </row>
    <row r="32" spans="1:16" ht="30">
      <c r="A32" s="41" t="s">
        <v>35</v>
      </c>
      <c r="B32" s="38" t="s">
        <v>193</v>
      </c>
      <c r="C32" s="7">
        <v>753075</v>
      </c>
      <c r="D32" s="1">
        <v>600000</v>
      </c>
      <c r="E32" s="1"/>
      <c r="F32" s="1"/>
      <c r="G32" s="1"/>
      <c r="H32" s="39"/>
      <c r="I32" s="1">
        <v>54915</v>
      </c>
      <c r="J32" s="1"/>
      <c r="K32" s="1">
        <v>150416</v>
      </c>
      <c r="L32" s="1"/>
      <c r="M32" s="39"/>
      <c r="N32" s="1"/>
      <c r="O32" s="1"/>
      <c r="P32" s="36">
        <f t="shared" si="1"/>
        <v>805331</v>
      </c>
    </row>
    <row r="33" spans="1:16" ht="26.25" customHeight="1" thickBot="1">
      <c r="A33" s="47" t="s">
        <v>178</v>
      </c>
      <c r="B33" s="38" t="s">
        <v>330</v>
      </c>
      <c r="C33" s="48">
        <v>1</v>
      </c>
      <c r="D33" s="49"/>
      <c r="E33" s="49"/>
      <c r="F33" s="49"/>
      <c r="G33" s="50"/>
      <c r="H33" s="72"/>
      <c r="I33" s="49"/>
      <c r="J33" s="49"/>
      <c r="K33" s="49"/>
      <c r="L33" s="50"/>
      <c r="M33" s="73"/>
      <c r="N33" s="74"/>
      <c r="O33" s="75"/>
      <c r="P33" s="54">
        <f t="shared" si="1"/>
        <v>0</v>
      </c>
    </row>
    <row r="34" spans="1:16" ht="15.75" thickBot="1">
      <c r="A34" s="68" t="s">
        <v>36</v>
      </c>
      <c r="B34" s="29" t="s">
        <v>37</v>
      </c>
      <c r="C34" s="8">
        <f>SUM(C35,C36,C42)</f>
        <v>11328898</v>
      </c>
      <c r="D34" s="8">
        <f>SUM(D35,D36,D42)</f>
        <v>384656</v>
      </c>
      <c r="E34" s="8">
        <f aca="true" t="shared" si="8" ref="E34:O34">SUM(E35,E36,E42)</f>
        <v>9867637</v>
      </c>
      <c r="F34" s="8">
        <f t="shared" si="8"/>
        <v>158170</v>
      </c>
      <c r="G34" s="8">
        <f t="shared" si="8"/>
        <v>248559</v>
      </c>
      <c r="H34" s="8">
        <f>SUM(H35,H36,H42)</f>
        <v>68130</v>
      </c>
      <c r="I34" s="8">
        <f t="shared" si="8"/>
        <v>101860</v>
      </c>
      <c r="J34" s="8">
        <f t="shared" si="8"/>
        <v>121594</v>
      </c>
      <c r="K34" s="8">
        <f t="shared" si="8"/>
        <v>491650</v>
      </c>
      <c r="L34" s="8">
        <f t="shared" si="8"/>
        <v>11925</v>
      </c>
      <c r="M34" s="8">
        <f t="shared" si="8"/>
        <v>12112</v>
      </c>
      <c r="N34" s="8">
        <f t="shared" si="8"/>
        <v>11800</v>
      </c>
      <c r="O34" s="8">
        <f t="shared" si="8"/>
        <v>37000</v>
      </c>
      <c r="P34" s="31">
        <f t="shared" si="1"/>
        <v>11515093</v>
      </c>
    </row>
    <row r="35" spans="1:16" ht="31.5">
      <c r="A35" s="76" t="s">
        <v>179</v>
      </c>
      <c r="B35" s="77" t="s">
        <v>180</v>
      </c>
      <c r="C35" s="77">
        <v>7522</v>
      </c>
      <c r="D35" s="78"/>
      <c r="E35" s="34"/>
      <c r="F35" s="35"/>
      <c r="G35" s="35"/>
      <c r="H35" s="79"/>
      <c r="I35" s="79"/>
      <c r="J35" s="59"/>
      <c r="K35" s="59"/>
      <c r="L35" s="59"/>
      <c r="M35" s="59"/>
      <c r="N35" s="59"/>
      <c r="O35" s="60"/>
      <c r="P35" s="36">
        <f t="shared" si="1"/>
        <v>0</v>
      </c>
    </row>
    <row r="36" spans="1:16" ht="43.5">
      <c r="A36" s="80" t="s">
        <v>18</v>
      </c>
      <c r="B36" s="81" t="s">
        <v>194</v>
      </c>
      <c r="C36" s="82">
        <f>SUM(C37:C41)</f>
        <v>11247437</v>
      </c>
      <c r="D36" s="82">
        <f>SUM(D37:D41)</f>
        <v>384656</v>
      </c>
      <c r="E36" s="82">
        <f aca="true" t="shared" si="9" ref="E36:O36">SUM(E37:E41)</f>
        <v>9766355</v>
      </c>
      <c r="F36" s="83">
        <f t="shared" si="9"/>
        <v>158170</v>
      </c>
      <c r="G36" s="6">
        <f t="shared" si="9"/>
        <v>248559</v>
      </c>
      <c r="H36" s="82">
        <f t="shared" si="9"/>
        <v>68130</v>
      </c>
      <c r="I36" s="83">
        <f t="shared" si="9"/>
        <v>99860</v>
      </c>
      <c r="J36" s="82">
        <f t="shared" si="9"/>
        <v>121594</v>
      </c>
      <c r="K36" s="83">
        <f t="shared" si="9"/>
        <v>491650</v>
      </c>
      <c r="L36" s="82">
        <f t="shared" si="9"/>
        <v>7925</v>
      </c>
      <c r="M36" s="83">
        <f t="shared" si="9"/>
        <v>12112</v>
      </c>
      <c r="N36" s="82">
        <f t="shared" si="9"/>
        <v>11800</v>
      </c>
      <c r="O36" s="84">
        <f t="shared" si="9"/>
        <v>37000</v>
      </c>
      <c r="P36" s="36">
        <f t="shared" si="1"/>
        <v>11407811</v>
      </c>
    </row>
    <row r="37" spans="1:16" ht="15">
      <c r="A37" s="37" t="s">
        <v>169</v>
      </c>
      <c r="B37" s="38" t="s">
        <v>170</v>
      </c>
      <c r="C37" s="43">
        <v>323458</v>
      </c>
      <c r="D37" s="42">
        <v>197710</v>
      </c>
      <c r="E37" s="42"/>
      <c r="F37" s="85"/>
      <c r="G37" s="1"/>
      <c r="H37" s="39">
        <v>50500</v>
      </c>
      <c r="I37" s="82"/>
      <c r="J37" s="39"/>
      <c r="K37" s="39">
        <v>58028</v>
      </c>
      <c r="L37" s="82"/>
      <c r="M37" s="82"/>
      <c r="N37" s="82"/>
      <c r="O37" s="6"/>
      <c r="P37" s="36">
        <f t="shared" si="1"/>
        <v>306238</v>
      </c>
    </row>
    <row r="38" spans="1:16" ht="15">
      <c r="A38" s="37" t="s">
        <v>469</v>
      </c>
      <c r="B38" s="38" t="s">
        <v>149</v>
      </c>
      <c r="C38" s="38">
        <v>115</v>
      </c>
      <c r="D38" s="39"/>
      <c r="E38" s="39"/>
      <c r="F38" s="39"/>
      <c r="G38" s="1"/>
      <c r="H38" s="86"/>
      <c r="I38" s="86"/>
      <c r="J38" s="61"/>
      <c r="K38" s="61"/>
      <c r="L38" s="61"/>
      <c r="M38" s="61"/>
      <c r="N38" s="61"/>
      <c r="O38" s="62"/>
      <c r="P38" s="36">
        <f t="shared" si="1"/>
        <v>0</v>
      </c>
    </row>
    <row r="39" spans="1:16" ht="30">
      <c r="A39" s="37" t="s">
        <v>150</v>
      </c>
      <c r="B39" s="38" t="s">
        <v>507</v>
      </c>
      <c r="C39" s="38">
        <v>46</v>
      </c>
      <c r="D39" s="39"/>
      <c r="E39" s="39"/>
      <c r="F39" s="39"/>
      <c r="G39" s="1"/>
      <c r="H39" s="86"/>
      <c r="I39" s="46">
        <v>10</v>
      </c>
      <c r="J39" s="61"/>
      <c r="K39" s="61">
        <v>30</v>
      </c>
      <c r="L39" s="61"/>
      <c r="M39" s="61"/>
      <c r="N39" s="61"/>
      <c r="O39" s="62"/>
      <c r="P39" s="36">
        <f t="shared" si="1"/>
        <v>40</v>
      </c>
    </row>
    <row r="40" spans="1:16" ht="15">
      <c r="A40" s="37" t="s">
        <v>38</v>
      </c>
      <c r="B40" s="38" t="s">
        <v>39</v>
      </c>
      <c r="C40" s="38">
        <v>620292</v>
      </c>
      <c r="D40" s="39">
        <f>156547+9099</f>
        <v>165646</v>
      </c>
      <c r="E40" s="39">
        <v>288426</v>
      </c>
      <c r="F40" s="39">
        <v>62730</v>
      </c>
      <c r="G40" s="1">
        <v>12048</v>
      </c>
      <c r="H40" s="46">
        <v>5000</v>
      </c>
      <c r="I40" s="46">
        <v>8600</v>
      </c>
      <c r="J40" s="46">
        <v>6930</v>
      </c>
      <c r="K40" s="61">
        <v>26809</v>
      </c>
      <c r="L40" s="61">
        <v>1925</v>
      </c>
      <c r="M40" s="61">
        <v>1700</v>
      </c>
      <c r="N40" s="61">
        <v>2800</v>
      </c>
      <c r="O40" s="62">
        <v>5000</v>
      </c>
      <c r="P40" s="36">
        <f t="shared" si="1"/>
        <v>587614</v>
      </c>
    </row>
    <row r="41" spans="1:16" ht="30">
      <c r="A41" s="37" t="s">
        <v>40</v>
      </c>
      <c r="B41" s="38" t="s">
        <v>41</v>
      </c>
      <c r="C41" s="38">
        <v>10303526</v>
      </c>
      <c r="D41" s="39">
        <v>21300</v>
      </c>
      <c r="E41" s="39">
        <v>9477929</v>
      </c>
      <c r="F41" s="39">
        <v>95440</v>
      </c>
      <c r="G41" s="1">
        <v>236511</v>
      </c>
      <c r="H41" s="9">
        <f>8500+4130</f>
        <v>12630</v>
      </c>
      <c r="I41" s="46">
        <v>91250</v>
      </c>
      <c r="J41" s="9">
        <v>114664</v>
      </c>
      <c r="K41" s="44">
        <v>406783</v>
      </c>
      <c r="L41" s="44">
        <v>6000</v>
      </c>
      <c r="M41" s="44">
        <v>10412</v>
      </c>
      <c r="N41" s="44">
        <v>9000</v>
      </c>
      <c r="O41" s="44">
        <v>32000</v>
      </c>
      <c r="P41" s="36">
        <f t="shared" si="1"/>
        <v>10513919</v>
      </c>
    </row>
    <row r="42" spans="1:16" ht="30" thickBot="1">
      <c r="A42" s="80" t="s">
        <v>298</v>
      </c>
      <c r="B42" s="81" t="s">
        <v>299</v>
      </c>
      <c r="C42" s="87">
        <v>73939</v>
      </c>
      <c r="D42" s="65"/>
      <c r="E42" s="65">
        <v>101282</v>
      </c>
      <c r="F42" s="65"/>
      <c r="G42" s="66"/>
      <c r="H42" s="88"/>
      <c r="I42" s="89">
        <v>2000</v>
      </c>
      <c r="J42" s="90"/>
      <c r="K42" s="90"/>
      <c r="L42" s="90">
        <v>4000</v>
      </c>
      <c r="M42" s="90"/>
      <c r="N42" s="90"/>
      <c r="O42" s="90"/>
      <c r="P42" s="36">
        <f t="shared" si="1"/>
        <v>107282</v>
      </c>
    </row>
    <row r="43" spans="1:16" ht="15.75" thickBot="1">
      <c r="A43" s="91"/>
      <c r="B43" s="92" t="s">
        <v>42</v>
      </c>
      <c r="C43" s="93">
        <f>SUM(C8+C18+C27+C28+C30+C34)</f>
        <v>50035920</v>
      </c>
      <c r="D43" s="93">
        <f aca="true" t="shared" si="10" ref="D43:O43">SUM(D8+D18+D27+D28+D30+D34)</f>
        <v>39263965</v>
      </c>
      <c r="E43" s="93">
        <f t="shared" si="10"/>
        <v>9870037</v>
      </c>
      <c r="F43" s="93">
        <f t="shared" si="10"/>
        <v>158170</v>
      </c>
      <c r="G43" s="94">
        <f t="shared" si="10"/>
        <v>248559</v>
      </c>
      <c r="H43" s="93">
        <f t="shared" si="10"/>
        <v>172130</v>
      </c>
      <c r="I43" s="93">
        <f t="shared" si="10"/>
        <v>207345</v>
      </c>
      <c r="J43" s="93">
        <f t="shared" si="10"/>
        <v>166444</v>
      </c>
      <c r="K43" s="93">
        <f t="shared" si="10"/>
        <v>781325</v>
      </c>
      <c r="L43" s="93">
        <f t="shared" si="10"/>
        <v>60965</v>
      </c>
      <c r="M43" s="93">
        <f t="shared" si="10"/>
        <v>60661</v>
      </c>
      <c r="N43" s="93">
        <f t="shared" si="10"/>
        <v>54819</v>
      </c>
      <c r="O43" s="93">
        <f t="shared" si="10"/>
        <v>89859</v>
      </c>
      <c r="P43" s="31">
        <f t="shared" si="1"/>
        <v>51134279</v>
      </c>
    </row>
    <row r="44" spans="1:16" ht="15">
      <c r="A44" s="95" t="s">
        <v>470</v>
      </c>
      <c r="B44" s="96" t="s">
        <v>19</v>
      </c>
      <c r="C44" s="96"/>
      <c r="D44" s="2">
        <v>17140410</v>
      </c>
      <c r="E44" s="34"/>
      <c r="F44" s="34"/>
      <c r="G44" s="35"/>
      <c r="H44" s="58"/>
      <c r="I44" s="79"/>
      <c r="J44" s="59"/>
      <c r="K44" s="59"/>
      <c r="L44" s="59"/>
      <c r="M44" s="59"/>
      <c r="N44" s="60"/>
      <c r="O44" s="59"/>
      <c r="P44" s="36">
        <f t="shared" si="1"/>
        <v>17140410</v>
      </c>
    </row>
    <row r="45" spans="1:16" ht="15">
      <c r="A45" s="97"/>
      <c r="B45" s="98" t="s">
        <v>43</v>
      </c>
      <c r="C45" s="99">
        <f aca="true" t="shared" si="11" ref="C45:O45">SUM(C43:C44)</f>
        <v>50035920</v>
      </c>
      <c r="D45" s="99">
        <f t="shared" si="11"/>
        <v>56404375</v>
      </c>
      <c r="E45" s="100">
        <f t="shared" si="11"/>
        <v>9870037</v>
      </c>
      <c r="F45" s="100">
        <f t="shared" si="11"/>
        <v>158170</v>
      </c>
      <c r="G45" s="101">
        <f t="shared" si="11"/>
        <v>248559</v>
      </c>
      <c r="H45" s="100">
        <f t="shared" si="11"/>
        <v>172130</v>
      </c>
      <c r="I45" s="100">
        <f t="shared" si="11"/>
        <v>207345</v>
      </c>
      <c r="J45" s="100">
        <f t="shared" si="11"/>
        <v>166444</v>
      </c>
      <c r="K45" s="100">
        <f t="shared" si="11"/>
        <v>781325</v>
      </c>
      <c r="L45" s="100">
        <f t="shared" si="11"/>
        <v>60965</v>
      </c>
      <c r="M45" s="100">
        <f t="shared" si="11"/>
        <v>60661</v>
      </c>
      <c r="N45" s="101">
        <f t="shared" si="11"/>
        <v>54819</v>
      </c>
      <c r="O45" s="100">
        <f t="shared" si="11"/>
        <v>89859</v>
      </c>
      <c r="P45" s="36">
        <f t="shared" si="1"/>
        <v>68274689</v>
      </c>
    </row>
    <row r="46" spans="1:16" ht="18" customHeight="1">
      <c r="A46" s="102" t="s">
        <v>296</v>
      </c>
      <c r="B46" s="103" t="s">
        <v>460</v>
      </c>
      <c r="C46" s="103"/>
      <c r="D46" s="4">
        <v>5639829</v>
      </c>
      <c r="E46" s="39">
        <v>1424544</v>
      </c>
      <c r="F46" s="39">
        <v>117267</v>
      </c>
      <c r="G46" s="1">
        <v>35099</v>
      </c>
      <c r="H46" s="46">
        <f>175631+23066</f>
        <v>198697</v>
      </c>
      <c r="I46" s="46">
        <v>149905</v>
      </c>
      <c r="J46" s="46">
        <v>143335</v>
      </c>
      <c r="K46" s="61">
        <v>229027</v>
      </c>
      <c r="L46" s="61">
        <v>37490</v>
      </c>
      <c r="M46" s="61">
        <v>16443</v>
      </c>
      <c r="N46" s="62">
        <v>24422</v>
      </c>
      <c r="O46" s="61">
        <v>55424</v>
      </c>
      <c r="P46" s="36">
        <f t="shared" si="1"/>
        <v>8071482</v>
      </c>
    </row>
    <row r="47" spans="1:16" ht="15">
      <c r="A47" s="102" t="s">
        <v>181</v>
      </c>
      <c r="B47" s="10" t="s">
        <v>182</v>
      </c>
      <c r="C47" s="10"/>
      <c r="D47" s="4"/>
      <c r="E47" s="39"/>
      <c r="F47" s="39"/>
      <c r="G47" s="1"/>
      <c r="H47" s="46"/>
      <c r="I47" s="46"/>
      <c r="J47" s="61"/>
      <c r="K47" s="61"/>
      <c r="L47" s="61"/>
      <c r="M47" s="61"/>
      <c r="N47" s="62"/>
      <c r="O47" s="61"/>
      <c r="P47" s="36">
        <f t="shared" si="1"/>
        <v>0</v>
      </c>
    </row>
    <row r="48" spans="1:16" ht="15">
      <c r="A48" s="97"/>
      <c r="B48" s="103" t="s">
        <v>44</v>
      </c>
      <c r="C48" s="99">
        <f>SUM(C45:C46)</f>
        <v>50035920</v>
      </c>
      <c r="D48" s="99">
        <f>SUM(D45:D46)</f>
        <v>62044204</v>
      </c>
      <c r="E48" s="100">
        <f>SUM(E45:E46)</f>
        <v>11294581</v>
      </c>
      <c r="F48" s="100">
        <f>SUM(F45:F46)</f>
        <v>275437</v>
      </c>
      <c r="G48" s="101">
        <f aca="true" t="shared" si="12" ref="G48:O48">SUM(G45:G47)</f>
        <v>283658</v>
      </c>
      <c r="H48" s="100">
        <f t="shared" si="12"/>
        <v>370827</v>
      </c>
      <c r="I48" s="100">
        <f t="shared" si="12"/>
        <v>357250</v>
      </c>
      <c r="J48" s="100">
        <f t="shared" si="12"/>
        <v>309779</v>
      </c>
      <c r="K48" s="100">
        <f t="shared" si="12"/>
        <v>1010352</v>
      </c>
      <c r="L48" s="100">
        <f t="shared" si="12"/>
        <v>98455</v>
      </c>
      <c r="M48" s="100">
        <f t="shared" si="12"/>
        <v>77104</v>
      </c>
      <c r="N48" s="100">
        <f t="shared" si="12"/>
        <v>79241</v>
      </c>
      <c r="O48" s="100">
        <f t="shared" si="12"/>
        <v>145283</v>
      </c>
      <c r="P48" s="36">
        <f t="shared" si="1"/>
        <v>76346171</v>
      </c>
    </row>
    <row r="49" spans="1:16" ht="15">
      <c r="A49" s="104"/>
      <c r="B49" s="105"/>
      <c r="C49" s="105"/>
      <c r="D49" s="106"/>
      <c r="E49" s="107"/>
      <c r="F49" s="107"/>
      <c r="G49" s="107"/>
      <c r="H49" s="108"/>
      <c r="I49" s="108"/>
      <c r="J49" s="108"/>
      <c r="K49" s="108"/>
      <c r="L49" s="108"/>
      <c r="M49" s="108"/>
      <c r="N49" s="108"/>
      <c r="O49" s="108"/>
      <c r="P49" s="108"/>
    </row>
    <row r="50" spans="1:16" ht="15">
      <c r="A50" s="104"/>
      <c r="B50" s="109"/>
      <c r="C50" s="109"/>
      <c r="D50" s="106"/>
      <c r="E50" s="107"/>
      <c r="F50" s="107"/>
      <c r="G50" s="107"/>
      <c r="H50" s="110"/>
      <c r="I50" s="110"/>
      <c r="J50" s="110"/>
      <c r="K50" s="110"/>
      <c r="L50" s="110"/>
      <c r="M50" s="110"/>
      <c r="N50" s="110"/>
      <c r="O50" s="110"/>
      <c r="P50" s="110"/>
    </row>
    <row r="51" spans="1:16" ht="15">
      <c r="A51" s="104"/>
      <c r="B51" s="109"/>
      <c r="C51" s="109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</row>
    <row r="52" spans="1:16" ht="15">
      <c r="A52" s="104"/>
      <c r="B52" s="105"/>
      <c r="C52" s="105"/>
      <c r="D52" s="112"/>
      <c r="E52" s="107"/>
      <c r="F52" s="107"/>
      <c r="G52" s="107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2:5" ht="15">
      <c r="B53" s="113" t="s">
        <v>295</v>
      </c>
      <c r="C53" s="113"/>
      <c r="E53" s="13" t="s">
        <v>17</v>
      </c>
    </row>
    <row r="54" spans="2:3" ht="15">
      <c r="B54" s="113"/>
      <c r="C54" s="113"/>
    </row>
    <row r="55" spans="2:3" ht="15">
      <c r="B55" s="113"/>
      <c r="C55" s="113"/>
    </row>
    <row r="56" spans="1:7" ht="15">
      <c r="A56" s="104"/>
      <c r="B56" s="105"/>
      <c r="C56" s="105"/>
      <c r="E56" s="114"/>
      <c r="F56" s="14" t="s">
        <v>127</v>
      </c>
      <c r="G56" s="14"/>
    </row>
    <row r="57" spans="1:7" ht="15">
      <c r="A57" s="104"/>
      <c r="B57" s="105"/>
      <c r="C57" s="105"/>
      <c r="F57" s="16" t="s">
        <v>0</v>
      </c>
      <c r="G57" s="16"/>
    </row>
    <row r="58" spans="1:7" ht="15">
      <c r="A58" s="115"/>
      <c r="B58" s="116"/>
      <c r="C58" s="116"/>
      <c r="F58" s="16" t="s">
        <v>516</v>
      </c>
      <c r="G58" s="16"/>
    </row>
    <row r="59" spans="1:7" ht="15">
      <c r="A59" s="115"/>
      <c r="B59" s="116"/>
      <c r="C59" s="116"/>
      <c r="F59" s="16"/>
      <c r="G59" s="16"/>
    </row>
    <row r="60" spans="1:5" ht="39.75" customHeight="1" thickBot="1">
      <c r="A60" s="542" t="s">
        <v>505</v>
      </c>
      <c r="B60" s="542"/>
      <c r="C60" s="542"/>
      <c r="D60" s="542"/>
      <c r="E60" s="542"/>
    </row>
    <row r="61" spans="1:16" ht="114" customHeight="1" thickBot="1">
      <c r="A61" s="20" t="s">
        <v>1</v>
      </c>
      <c r="B61" s="21" t="s">
        <v>144</v>
      </c>
      <c r="C61" s="22" t="s">
        <v>471</v>
      </c>
      <c r="D61" s="23" t="s">
        <v>446</v>
      </c>
      <c r="E61" s="24" t="s">
        <v>447</v>
      </c>
      <c r="F61" s="22" t="s">
        <v>448</v>
      </c>
      <c r="G61" s="22" t="s">
        <v>449</v>
      </c>
      <c r="H61" s="25" t="s">
        <v>450</v>
      </c>
      <c r="I61" s="25" t="s">
        <v>451</v>
      </c>
      <c r="J61" s="25" t="s">
        <v>452</v>
      </c>
      <c r="K61" s="25" t="s">
        <v>453</v>
      </c>
      <c r="L61" s="25" t="s">
        <v>454</v>
      </c>
      <c r="M61" s="25" t="s">
        <v>455</v>
      </c>
      <c r="N61" s="25" t="s">
        <v>459</v>
      </c>
      <c r="O61" s="26" t="s">
        <v>457</v>
      </c>
      <c r="P61" s="27" t="s">
        <v>458</v>
      </c>
    </row>
    <row r="62" spans="1:16" ht="15.75" thickBot="1">
      <c r="A62" s="117" t="s">
        <v>45</v>
      </c>
      <c r="B62" s="29" t="s">
        <v>46</v>
      </c>
      <c r="C62" s="8">
        <f>C63+C64+C65+C67+C68+C72</f>
        <v>3718422</v>
      </c>
      <c r="D62" s="8">
        <f>D63+D64+D65+D67+D68+D72</f>
        <v>4051353</v>
      </c>
      <c r="E62" s="8">
        <f aca="true" t="shared" si="13" ref="E62:N62">E63+E64+E65+E67+E68+E72</f>
        <v>0</v>
      </c>
      <c r="F62" s="8">
        <f t="shared" si="13"/>
        <v>0</v>
      </c>
      <c r="G62" s="8">
        <f t="shared" si="13"/>
        <v>0</v>
      </c>
      <c r="H62" s="8">
        <f t="shared" si="13"/>
        <v>125539</v>
      </c>
      <c r="I62" s="8">
        <f t="shared" si="13"/>
        <v>183859</v>
      </c>
      <c r="J62" s="8">
        <f t="shared" si="13"/>
        <v>124890</v>
      </c>
      <c r="K62" s="8">
        <f t="shared" si="13"/>
        <v>179696</v>
      </c>
      <c r="L62" s="8">
        <f>L63+L64+L65+L67+L68+L72</f>
        <v>111581</v>
      </c>
      <c r="M62" s="8">
        <f t="shared" si="13"/>
        <v>61820</v>
      </c>
      <c r="N62" s="8">
        <f t="shared" si="13"/>
        <v>70669</v>
      </c>
      <c r="O62" s="8">
        <f>O63+O64+O65+O67+O68+O72</f>
        <v>115118</v>
      </c>
      <c r="P62" s="31">
        <f aca="true" t="shared" si="14" ref="P62:P93">SUM(D62:O62)</f>
        <v>5024525</v>
      </c>
    </row>
    <row r="63" spans="1:16" ht="29.25">
      <c r="A63" s="118" t="s">
        <v>278</v>
      </c>
      <c r="B63" s="119" t="s">
        <v>202</v>
      </c>
      <c r="C63" s="120">
        <f>2908528-6245</f>
        <v>2902283</v>
      </c>
      <c r="D63" s="121">
        <v>2659800</v>
      </c>
      <c r="E63" s="34"/>
      <c r="F63" s="34"/>
      <c r="G63" s="35"/>
      <c r="H63" s="78">
        <v>124689</v>
      </c>
      <c r="I63" s="56">
        <v>177418</v>
      </c>
      <c r="J63" s="56">
        <v>101700</v>
      </c>
      <c r="K63" s="122">
        <v>162373</v>
      </c>
      <c r="L63" s="56">
        <v>108081</v>
      </c>
      <c r="M63" s="56">
        <v>61340</v>
      </c>
      <c r="N63" s="56">
        <v>67539</v>
      </c>
      <c r="O63" s="123">
        <v>102326</v>
      </c>
      <c r="P63" s="124">
        <f t="shared" si="14"/>
        <v>3565266</v>
      </c>
    </row>
    <row r="64" spans="1:16" ht="29.25">
      <c r="A64" s="118" t="s">
        <v>354</v>
      </c>
      <c r="B64" s="119" t="s">
        <v>355</v>
      </c>
      <c r="C64" s="120">
        <v>69256</v>
      </c>
      <c r="D64" s="121"/>
      <c r="E64" s="35"/>
      <c r="F64" s="34"/>
      <c r="G64" s="35"/>
      <c r="H64" s="78"/>
      <c r="I64" s="78"/>
      <c r="J64" s="78"/>
      <c r="K64" s="123"/>
      <c r="L64" s="121"/>
      <c r="M64" s="121"/>
      <c r="N64" s="82"/>
      <c r="O64" s="123"/>
      <c r="P64" s="36">
        <f t="shared" si="14"/>
        <v>0</v>
      </c>
    </row>
    <row r="65" spans="1:16" ht="15">
      <c r="A65" s="125" t="s">
        <v>47</v>
      </c>
      <c r="B65" s="81" t="s">
        <v>48</v>
      </c>
      <c r="C65" s="6">
        <f>SUM(C66:C66)</f>
        <v>60881</v>
      </c>
      <c r="D65" s="6">
        <f>SUM(D66:D66)</f>
        <v>158553</v>
      </c>
      <c r="E65" s="6">
        <f>SUM(E66:E66)</f>
        <v>0</v>
      </c>
      <c r="F65" s="82"/>
      <c r="G65" s="6"/>
      <c r="H65" s="82">
        <f aca="true" t="shared" si="15" ref="H65:O65">SUM(H66:H66)</f>
        <v>850</v>
      </c>
      <c r="I65" s="82">
        <f t="shared" si="15"/>
        <v>345</v>
      </c>
      <c r="J65" s="82">
        <f t="shared" si="15"/>
        <v>422</v>
      </c>
      <c r="K65" s="6">
        <f t="shared" si="15"/>
        <v>559</v>
      </c>
      <c r="L65" s="6">
        <f t="shared" si="15"/>
        <v>0</v>
      </c>
      <c r="M65" s="6">
        <f t="shared" si="15"/>
        <v>80</v>
      </c>
      <c r="N65" s="6">
        <f t="shared" si="15"/>
        <v>530</v>
      </c>
      <c r="O65" s="6">
        <f t="shared" si="15"/>
        <v>792</v>
      </c>
      <c r="P65" s="126">
        <f t="shared" si="14"/>
        <v>162131</v>
      </c>
    </row>
    <row r="66" spans="1:16" ht="30">
      <c r="A66" s="127" t="s">
        <v>49</v>
      </c>
      <c r="B66" s="38" t="s">
        <v>117</v>
      </c>
      <c r="C66" s="7">
        <v>60881</v>
      </c>
      <c r="D66" s="1">
        <v>158553</v>
      </c>
      <c r="E66" s="39"/>
      <c r="F66" s="39"/>
      <c r="G66" s="1"/>
      <c r="H66" s="61">
        <v>850</v>
      </c>
      <c r="I66" s="46">
        <v>345</v>
      </c>
      <c r="J66" s="46">
        <v>422</v>
      </c>
      <c r="K66" s="61">
        <v>559</v>
      </c>
      <c r="L66" s="61"/>
      <c r="M66" s="61">
        <v>80</v>
      </c>
      <c r="N66" s="61">
        <v>530</v>
      </c>
      <c r="O66" s="61">
        <v>792</v>
      </c>
      <c r="P66" s="126">
        <f t="shared" si="14"/>
        <v>162131</v>
      </c>
    </row>
    <row r="67" spans="1:16" ht="29.25">
      <c r="A67" s="125" t="s">
        <v>203</v>
      </c>
      <c r="B67" s="128" t="s">
        <v>204</v>
      </c>
      <c r="C67" s="129">
        <v>3383</v>
      </c>
      <c r="D67" s="1"/>
      <c r="E67" s="1"/>
      <c r="F67" s="39"/>
      <c r="G67" s="1"/>
      <c r="H67" s="61"/>
      <c r="I67" s="86"/>
      <c r="J67" s="46">
        <v>7000</v>
      </c>
      <c r="K67" s="62"/>
      <c r="L67" s="62"/>
      <c r="M67" s="62"/>
      <c r="N67" s="62"/>
      <c r="O67" s="62"/>
      <c r="P67" s="126">
        <f t="shared" si="14"/>
        <v>7000</v>
      </c>
    </row>
    <row r="68" spans="1:16" ht="29.25">
      <c r="A68" s="125" t="s">
        <v>50</v>
      </c>
      <c r="B68" s="128" t="s">
        <v>51</v>
      </c>
      <c r="C68" s="6">
        <f>SUM(C69:C71)</f>
        <v>682619</v>
      </c>
      <c r="D68" s="6">
        <f>SUM(D69:D71)</f>
        <v>683000</v>
      </c>
      <c r="E68" s="6">
        <f aca="true" t="shared" si="16" ref="E68:N68">SUM(E69:E71)</f>
        <v>0</v>
      </c>
      <c r="F68" s="6">
        <f t="shared" si="16"/>
        <v>0</v>
      </c>
      <c r="G68" s="6">
        <f t="shared" si="16"/>
        <v>0</v>
      </c>
      <c r="H68" s="82">
        <f t="shared" si="16"/>
        <v>0</v>
      </c>
      <c r="I68" s="6">
        <f t="shared" si="16"/>
        <v>6096</v>
      </c>
      <c r="J68" s="6">
        <f t="shared" si="16"/>
        <v>13188</v>
      </c>
      <c r="K68" s="6">
        <f t="shared" si="16"/>
        <v>14040</v>
      </c>
      <c r="L68" s="6">
        <f t="shared" si="16"/>
        <v>3500</v>
      </c>
      <c r="M68" s="6">
        <f t="shared" si="16"/>
        <v>400</v>
      </c>
      <c r="N68" s="6">
        <f t="shared" si="16"/>
        <v>2600</v>
      </c>
      <c r="O68" s="6">
        <f>SUM(O69:O71)</f>
        <v>12000</v>
      </c>
      <c r="P68" s="126">
        <f t="shared" si="14"/>
        <v>734824</v>
      </c>
    </row>
    <row r="69" spans="1:16" ht="30">
      <c r="A69" s="130" t="s">
        <v>357</v>
      </c>
      <c r="B69" s="38" t="s">
        <v>52</v>
      </c>
      <c r="C69" s="7">
        <v>469642</v>
      </c>
      <c r="D69" s="1">
        <v>500000</v>
      </c>
      <c r="E69" s="39"/>
      <c r="F69" s="39"/>
      <c r="G69" s="1"/>
      <c r="H69" s="86"/>
      <c r="I69" s="86"/>
      <c r="J69" s="86"/>
      <c r="K69" s="61"/>
      <c r="L69" s="61"/>
      <c r="M69" s="61"/>
      <c r="N69" s="61"/>
      <c r="O69" s="62"/>
      <c r="P69" s="126">
        <f t="shared" si="14"/>
        <v>500000</v>
      </c>
    </row>
    <row r="70" spans="1:16" ht="30">
      <c r="A70" s="130" t="s">
        <v>358</v>
      </c>
      <c r="B70" s="38" t="s">
        <v>332</v>
      </c>
      <c r="C70" s="7">
        <v>62977</v>
      </c>
      <c r="D70" s="1">
        <v>33000</v>
      </c>
      <c r="E70" s="39"/>
      <c r="F70" s="39"/>
      <c r="G70" s="1"/>
      <c r="H70" s="46"/>
      <c r="I70" s="46">
        <v>6096</v>
      </c>
      <c r="J70" s="46">
        <v>13188</v>
      </c>
      <c r="K70" s="61">
        <v>14040</v>
      </c>
      <c r="L70" s="61">
        <v>3500</v>
      </c>
      <c r="M70" s="61">
        <v>400</v>
      </c>
      <c r="N70" s="61">
        <v>2600</v>
      </c>
      <c r="O70" s="62">
        <v>12000</v>
      </c>
      <c r="P70" s="126">
        <f t="shared" si="14"/>
        <v>84824</v>
      </c>
    </row>
    <row r="71" spans="1:18" ht="45">
      <c r="A71" s="130" t="s">
        <v>359</v>
      </c>
      <c r="B71" s="48" t="s">
        <v>360</v>
      </c>
      <c r="C71" s="131">
        <v>150000</v>
      </c>
      <c r="D71" s="50">
        <v>150000</v>
      </c>
      <c r="E71" s="49"/>
      <c r="F71" s="49"/>
      <c r="G71" s="50"/>
      <c r="H71" s="132"/>
      <c r="I71" s="132"/>
      <c r="J71" s="132"/>
      <c r="K71" s="52"/>
      <c r="L71" s="52"/>
      <c r="M71" s="52"/>
      <c r="N71" s="52"/>
      <c r="O71" s="53"/>
      <c r="P71" s="126">
        <f t="shared" si="14"/>
        <v>150000</v>
      </c>
      <c r="Q71" s="15"/>
      <c r="R71" s="15"/>
    </row>
    <row r="72" spans="1:18" s="15" customFormat="1" ht="15.75" thickBot="1">
      <c r="A72" s="133" t="s">
        <v>53</v>
      </c>
      <c r="B72" s="134" t="s">
        <v>205</v>
      </c>
      <c r="C72" s="135"/>
      <c r="D72" s="136">
        <v>550000</v>
      </c>
      <c r="E72" s="137"/>
      <c r="F72" s="137"/>
      <c r="G72" s="136"/>
      <c r="H72" s="138"/>
      <c r="I72" s="139"/>
      <c r="J72" s="140">
        <v>2580</v>
      </c>
      <c r="K72" s="141">
        <v>2724</v>
      </c>
      <c r="L72" s="141"/>
      <c r="M72" s="141"/>
      <c r="N72" s="141"/>
      <c r="O72" s="142"/>
      <c r="P72" s="143">
        <f t="shared" si="14"/>
        <v>555304</v>
      </c>
      <c r="Q72" s="10"/>
      <c r="R72" s="10"/>
    </row>
    <row r="73" spans="1:16" ht="15.75" thickBot="1">
      <c r="A73" s="144" t="s">
        <v>54</v>
      </c>
      <c r="B73" s="29" t="s">
        <v>55</v>
      </c>
      <c r="C73" s="8">
        <f>SUM(C74:C75,C77)</f>
        <v>579527</v>
      </c>
      <c r="D73" s="8">
        <f>SUM(D74:D75,D77+D78)</f>
        <v>657941</v>
      </c>
      <c r="E73" s="8">
        <f aca="true" t="shared" si="17" ref="E73:O73">SUM(E74:E75,E77+E78)</f>
        <v>0</v>
      </c>
      <c r="F73" s="8">
        <f t="shared" si="17"/>
        <v>0</v>
      </c>
      <c r="G73" s="8">
        <f t="shared" si="17"/>
        <v>0</v>
      </c>
      <c r="H73" s="8">
        <f t="shared" si="17"/>
        <v>10195</v>
      </c>
      <c r="I73" s="8">
        <f t="shared" si="17"/>
        <v>0</v>
      </c>
      <c r="J73" s="8">
        <f t="shared" si="17"/>
        <v>0</v>
      </c>
      <c r="K73" s="8">
        <f t="shared" si="17"/>
        <v>4188</v>
      </c>
      <c r="L73" s="8">
        <f t="shared" si="17"/>
        <v>0</v>
      </c>
      <c r="M73" s="8">
        <f t="shared" si="17"/>
        <v>0</v>
      </c>
      <c r="N73" s="8">
        <f t="shared" si="17"/>
        <v>0</v>
      </c>
      <c r="O73" s="8">
        <f t="shared" si="17"/>
        <v>9689</v>
      </c>
      <c r="P73" s="31">
        <f t="shared" si="14"/>
        <v>682013</v>
      </c>
    </row>
    <row r="74" spans="1:16" ht="15">
      <c r="A74" s="118" t="s">
        <v>201</v>
      </c>
      <c r="B74" s="119" t="s">
        <v>15</v>
      </c>
      <c r="C74" s="120">
        <v>539073</v>
      </c>
      <c r="D74" s="35">
        <v>591761</v>
      </c>
      <c r="E74" s="34"/>
      <c r="F74" s="34"/>
      <c r="G74" s="35"/>
      <c r="H74" s="58"/>
      <c r="I74" s="79"/>
      <c r="J74" s="79"/>
      <c r="K74" s="59"/>
      <c r="L74" s="59"/>
      <c r="M74" s="59"/>
      <c r="N74" s="59"/>
      <c r="O74" s="60"/>
      <c r="P74" s="124">
        <f t="shared" si="14"/>
        <v>591761</v>
      </c>
    </row>
    <row r="75" spans="1:16" ht="29.25">
      <c r="A75" s="125" t="s">
        <v>287</v>
      </c>
      <c r="B75" s="81" t="s">
        <v>288</v>
      </c>
      <c r="C75" s="6">
        <f>SUM(C76:C76)</f>
        <v>0</v>
      </c>
      <c r="D75" s="6">
        <f>SUM(D76:D76)</f>
        <v>2980</v>
      </c>
      <c r="E75" s="6">
        <f aca="true" t="shared" si="18" ref="E75:O75">SUM(E76:E76)</f>
        <v>0</v>
      </c>
      <c r="F75" s="6">
        <f t="shared" si="18"/>
        <v>0</v>
      </c>
      <c r="G75" s="6">
        <f t="shared" si="18"/>
        <v>0</v>
      </c>
      <c r="H75" s="6">
        <f t="shared" si="18"/>
        <v>0</v>
      </c>
      <c r="I75" s="6">
        <f t="shared" si="18"/>
        <v>0</v>
      </c>
      <c r="J75" s="6">
        <f t="shared" si="18"/>
        <v>0</v>
      </c>
      <c r="K75" s="6">
        <f t="shared" si="18"/>
        <v>0</v>
      </c>
      <c r="L75" s="6">
        <f t="shared" si="18"/>
        <v>0</v>
      </c>
      <c r="M75" s="6">
        <f t="shared" si="18"/>
        <v>0</v>
      </c>
      <c r="N75" s="6">
        <f t="shared" si="18"/>
        <v>0</v>
      </c>
      <c r="O75" s="6">
        <f t="shared" si="18"/>
        <v>0</v>
      </c>
      <c r="P75" s="36">
        <f t="shared" si="14"/>
        <v>2980</v>
      </c>
    </row>
    <row r="76" spans="1:18" ht="15">
      <c r="A76" s="127" t="s">
        <v>361</v>
      </c>
      <c r="B76" s="145" t="s">
        <v>362</v>
      </c>
      <c r="C76" s="146"/>
      <c r="D76" s="1">
        <v>2980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147"/>
      <c r="P76" s="126">
        <f t="shared" si="14"/>
        <v>2980</v>
      </c>
      <c r="Q76" s="15"/>
      <c r="R76" s="15"/>
    </row>
    <row r="77" spans="1:18" s="15" customFormat="1" ht="29.25">
      <c r="A77" s="133" t="s">
        <v>56</v>
      </c>
      <c r="B77" s="81" t="s">
        <v>206</v>
      </c>
      <c r="C77" s="81">
        <v>40454</v>
      </c>
      <c r="D77" s="82">
        <v>53200</v>
      </c>
      <c r="E77" s="82"/>
      <c r="F77" s="82"/>
      <c r="G77" s="6"/>
      <c r="H77" s="148">
        <v>10195</v>
      </c>
      <c r="I77" s="149"/>
      <c r="J77" s="149"/>
      <c r="K77" s="150">
        <v>4188</v>
      </c>
      <c r="L77" s="150"/>
      <c r="M77" s="150"/>
      <c r="N77" s="150"/>
      <c r="O77" s="151">
        <v>9689</v>
      </c>
      <c r="P77" s="126">
        <f t="shared" si="14"/>
        <v>77272</v>
      </c>
      <c r="Q77" s="10"/>
      <c r="R77" s="10"/>
    </row>
    <row r="78" spans="1:18" s="15" customFormat="1" ht="15.75" thickBot="1">
      <c r="A78" s="133" t="s">
        <v>495</v>
      </c>
      <c r="B78" s="87" t="s">
        <v>496</v>
      </c>
      <c r="C78" s="152"/>
      <c r="D78" s="153">
        <v>10000</v>
      </c>
      <c r="E78" s="153"/>
      <c r="F78" s="153"/>
      <c r="G78" s="153"/>
      <c r="H78" s="154"/>
      <c r="I78" s="155"/>
      <c r="J78" s="155"/>
      <c r="K78" s="156"/>
      <c r="L78" s="156"/>
      <c r="M78" s="156"/>
      <c r="N78" s="156"/>
      <c r="O78" s="156"/>
      <c r="P78" s="143">
        <f t="shared" si="14"/>
        <v>10000</v>
      </c>
      <c r="Q78" s="10"/>
      <c r="R78" s="10"/>
    </row>
    <row r="79" spans="1:16" ht="15.75" thickBot="1">
      <c r="A79" s="144" t="s">
        <v>10</v>
      </c>
      <c r="B79" s="29" t="s">
        <v>57</v>
      </c>
      <c r="C79" s="8">
        <f>SUM(C80,C87,C90:C92,C103)</f>
        <v>6735107</v>
      </c>
      <c r="D79" s="8">
        <f>SUM(D80,D87,D90:D92,D103)</f>
        <v>18626701</v>
      </c>
      <c r="E79" s="8">
        <f aca="true" t="shared" si="19" ref="E79:O79">SUM(E80,E87,E90:E92,E103)</f>
        <v>309225</v>
      </c>
      <c r="F79" s="8">
        <f t="shared" si="19"/>
        <v>0</v>
      </c>
      <c r="G79" s="8">
        <f t="shared" si="19"/>
        <v>0</v>
      </c>
      <c r="H79" s="8">
        <f t="shared" si="19"/>
        <v>61133</v>
      </c>
      <c r="I79" s="8">
        <f t="shared" si="19"/>
        <v>15605</v>
      </c>
      <c r="J79" s="8">
        <f t="shared" si="19"/>
        <v>33154</v>
      </c>
      <c r="K79" s="8">
        <f t="shared" si="19"/>
        <v>54718</v>
      </c>
      <c r="L79" s="8">
        <f t="shared" si="19"/>
        <v>5000</v>
      </c>
      <c r="M79" s="8">
        <f t="shared" si="19"/>
        <v>0</v>
      </c>
      <c r="N79" s="8">
        <f t="shared" si="19"/>
        <v>1500</v>
      </c>
      <c r="O79" s="8">
        <f t="shared" si="19"/>
        <v>0</v>
      </c>
      <c r="P79" s="31">
        <f t="shared" si="14"/>
        <v>19107036</v>
      </c>
    </row>
    <row r="80" spans="1:16" ht="15">
      <c r="A80" s="118" t="s">
        <v>114</v>
      </c>
      <c r="B80" s="157" t="s">
        <v>115</v>
      </c>
      <c r="C80" s="121">
        <f aca="true" t="shared" si="20" ref="C80:O80">SUM(C81:C86)</f>
        <v>1978057</v>
      </c>
      <c r="D80" s="121">
        <f t="shared" si="20"/>
        <v>3025404</v>
      </c>
      <c r="E80" s="121">
        <f t="shared" si="20"/>
        <v>0</v>
      </c>
      <c r="F80" s="121">
        <f t="shared" si="20"/>
        <v>0</v>
      </c>
      <c r="G80" s="121">
        <f t="shared" si="20"/>
        <v>0</v>
      </c>
      <c r="H80" s="78">
        <f t="shared" si="20"/>
        <v>0</v>
      </c>
      <c r="I80" s="121">
        <f t="shared" si="20"/>
        <v>0</v>
      </c>
      <c r="J80" s="121">
        <f t="shared" si="20"/>
        <v>0</v>
      </c>
      <c r="K80" s="121">
        <f t="shared" si="20"/>
        <v>0</v>
      </c>
      <c r="L80" s="121">
        <f t="shared" si="20"/>
        <v>0</v>
      </c>
      <c r="M80" s="121">
        <f t="shared" si="20"/>
        <v>0</v>
      </c>
      <c r="N80" s="121">
        <f t="shared" si="20"/>
        <v>0</v>
      </c>
      <c r="O80" s="121">
        <f t="shared" si="20"/>
        <v>0</v>
      </c>
      <c r="P80" s="124">
        <f t="shared" si="14"/>
        <v>3025404</v>
      </c>
    </row>
    <row r="81" spans="1:16" ht="15">
      <c r="A81" s="158" t="s">
        <v>207</v>
      </c>
      <c r="B81" s="59" t="s">
        <v>208</v>
      </c>
      <c r="C81" s="60">
        <v>11849</v>
      </c>
      <c r="D81" s="35">
        <v>10000</v>
      </c>
      <c r="E81" s="34"/>
      <c r="F81" s="34"/>
      <c r="G81" s="35"/>
      <c r="H81" s="79"/>
      <c r="I81" s="79"/>
      <c r="J81" s="58"/>
      <c r="K81" s="59"/>
      <c r="L81" s="59"/>
      <c r="M81" s="59"/>
      <c r="N81" s="59"/>
      <c r="O81" s="60"/>
      <c r="P81" s="159">
        <f t="shared" si="14"/>
        <v>10000</v>
      </c>
    </row>
    <row r="82" spans="1:16" ht="45">
      <c r="A82" s="158" t="s">
        <v>363</v>
      </c>
      <c r="B82" s="160" t="s">
        <v>497</v>
      </c>
      <c r="C82" s="161">
        <v>54792</v>
      </c>
      <c r="D82" s="35">
        <f>40930+12100</f>
        <v>53030</v>
      </c>
      <c r="E82" s="34"/>
      <c r="F82" s="34"/>
      <c r="G82" s="35"/>
      <c r="H82" s="79"/>
      <c r="I82" s="79"/>
      <c r="J82" s="79"/>
      <c r="K82" s="59"/>
      <c r="L82" s="59"/>
      <c r="M82" s="59"/>
      <c r="N82" s="59"/>
      <c r="O82" s="162"/>
      <c r="P82" s="163">
        <f t="shared" si="14"/>
        <v>53030</v>
      </c>
    </row>
    <row r="83" spans="1:16" ht="15">
      <c r="A83" s="158" t="s">
        <v>364</v>
      </c>
      <c r="B83" s="164" t="s">
        <v>365</v>
      </c>
      <c r="C83" s="165">
        <v>6180</v>
      </c>
      <c r="D83" s="35">
        <v>5000</v>
      </c>
      <c r="E83" s="34"/>
      <c r="F83" s="34"/>
      <c r="G83" s="35"/>
      <c r="H83" s="79"/>
      <c r="I83" s="79"/>
      <c r="J83" s="79"/>
      <c r="K83" s="59"/>
      <c r="L83" s="59"/>
      <c r="M83" s="59"/>
      <c r="N83" s="59"/>
      <c r="O83" s="162"/>
      <c r="P83" s="163">
        <f t="shared" si="14"/>
        <v>5000</v>
      </c>
    </row>
    <row r="84" spans="1:16" ht="30">
      <c r="A84" s="158" t="s">
        <v>341</v>
      </c>
      <c r="B84" s="146" t="s">
        <v>366</v>
      </c>
      <c r="C84" s="166">
        <v>143784</v>
      </c>
      <c r="D84" s="35">
        <v>2857374</v>
      </c>
      <c r="E84" s="34"/>
      <c r="F84" s="34"/>
      <c r="G84" s="35"/>
      <c r="H84" s="79"/>
      <c r="I84" s="79"/>
      <c r="J84" s="79"/>
      <c r="K84" s="59"/>
      <c r="L84" s="59"/>
      <c r="M84" s="59"/>
      <c r="N84" s="59"/>
      <c r="O84" s="60"/>
      <c r="P84" s="163">
        <f t="shared" si="14"/>
        <v>2857374</v>
      </c>
    </row>
    <row r="85" spans="1:16" ht="15">
      <c r="A85" s="158" t="s">
        <v>487</v>
      </c>
      <c r="B85" s="146" t="s">
        <v>488</v>
      </c>
      <c r="C85" s="167"/>
      <c r="D85" s="35">
        <v>100000</v>
      </c>
      <c r="E85" s="34"/>
      <c r="F85" s="34"/>
      <c r="G85" s="35"/>
      <c r="H85" s="79"/>
      <c r="I85" s="79"/>
      <c r="J85" s="79"/>
      <c r="K85" s="59"/>
      <c r="L85" s="59"/>
      <c r="M85" s="59"/>
      <c r="N85" s="59"/>
      <c r="O85" s="60"/>
      <c r="P85" s="163">
        <f t="shared" si="14"/>
        <v>100000</v>
      </c>
    </row>
    <row r="86" spans="1:16" ht="15.75" customHeight="1">
      <c r="A86" s="158" t="s">
        <v>300</v>
      </c>
      <c r="B86" s="146" t="s">
        <v>367</v>
      </c>
      <c r="C86" s="166">
        <v>1761452</v>
      </c>
      <c r="D86" s="35"/>
      <c r="E86" s="34"/>
      <c r="F86" s="34"/>
      <c r="G86" s="35"/>
      <c r="H86" s="79"/>
      <c r="I86" s="79"/>
      <c r="J86" s="79"/>
      <c r="K86" s="59"/>
      <c r="L86" s="59"/>
      <c r="M86" s="59"/>
      <c r="N86" s="59"/>
      <c r="O86" s="60"/>
      <c r="P86" s="163">
        <f t="shared" si="14"/>
        <v>0</v>
      </c>
    </row>
    <row r="87" spans="1:16" ht="15">
      <c r="A87" s="125" t="s">
        <v>58</v>
      </c>
      <c r="B87" s="81" t="s">
        <v>209</v>
      </c>
      <c r="C87" s="6">
        <f>SUM(C88:C89)</f>
        <v>137718</v>
      </c>
      <c r="D87" s="6">
        <f>SUM(D88:D89)</f>
        <v>4466118</v>
      </c>
      <c r="E87" s="6">
        <f aca="true" t="shared" si="21" ref="E87:O87">SUM(E88:E89)</f>
        <v>0</v>
      </c>
      <c r="F87" s="6">
        <f t="shared" si="21"/>
        <v>0</v>
      </c>
      <c r="G87" s="6">
        <f t="shared" si="21"/>
        <v>0</v>
      </c>
      <c r="H87" s="6">
        <f t="shared" si="21"/>
        <v>0</v>
      </c>
      <c r="I87" s="6">
        <f t="shared" si="21"/>
        <v>0</v>
      </c>
      <c r="J87" s="6">
        <f t="shared" si="21"/>
        <v>0</v>
      </c>
      <c r="K87" s="6">
        <f t="shared" si="21"/>
        <v>0</v>
      </c>
      <c r="L87" s="6">
        <f t="shared" si="21"/>
        <v>0</v>
      </c>
      <c r="M87" s="6">
        <f t="shared" si="21"/>
        <v>0</v>
      </c>
      <c r="N87" s="6">
        <f t="shared" si="21"/>
        <v>1500</v>
      </c>
      <c r="O87" s="6">
        <f t="shared" si="21"/>
        <v>0</v>
      </c>
      <c r="P87" s="126">
        <f t="shared" si="14"/>
        <v>4467618</v>
      </c>
    </row>
    <row r="88" spans="1:16" ht="15">
      <c r="A88" s="158" t="s">
        <v>301</v>
      </c>
      <c r="B88" s="168" t="s">
        <v>368</v>
      </c>
      <c r="C88" s="169">
        <f>1492+247</f>
        <v>1739</v>
      </c>
      <c r="D88" s="121"/>
      <c r="E88" s="82"/>
      <c r="F88" s="82"/>
      <c r="G88" s="6"/>
      <c r="H88" s="86"/>
      <c r="I88" s="86"/>
      <c r="J88" s="86"/>
      <c r="K88" s="61"/>
      <c r="L88" s="61"/>
      <c r="M88" s="61"/>
      <c r="N88" s="61">
        <v>1500</v>
      </c>
      <c r="O88" s="62"/>
      <c r="P88" s="163">
        <f t="shared" si="14"/>
        <v>1500</v>
      </c>
    </row>
    <row r="89" spans="1:16" ht="75">
      <c r="A89" s="158" t="s">
        <v>302</v>
      </c>
      <c r="B89" s="168" t="s">
        <v>369</v>
      </c>
      <c r="C89" s="169">
        <v>135979</v>
      </c>
      <c r="D89" s="35">
        <v>4466118</v>
      </c>
      <c r="E89" s="82"/>
      <c r="F89" s="82"/>
      <c r="G89" s="6"/>
      <c r="H89" s="86"/>
      <c r="I89" s="86"/>
      <c r="J89" s="86"/>
      <c r="K89" s="61"/>
      <c r="L89" s="61"/>
      <c r="M89" s="61"/>
      <c r="N89" s="61"/>
      <c r="O89" s="62"/>
      <c r="P89" s="163">
        <f t="shared" si="14"/>
        <v>4466118</v>
      </c>
    </row>
    <row r="90" spans="1:16" ht="15">
      <c r="A90" s="118" t="s">
        <v>112</v>
      </c>
      <c r="B90" s="119" t="s">
        <v>113</v>
      </c>
      <c r="C90" s="120">
        <v>5911</v>
      </c>
      <c r="D90" s="121"/>
      <c r="E90" s="39"/>
      <c r="F90" s="39"/>
      <c r="G90" s="1"/>
      <c r="H90" s="86"/>
      <c r="I90" s="86"/>
      <c r="J90" s="86"/>
      <c r="K90" s="61">
        <v>2530</v>
      </c>
      <c r="L90" s="61">
        <v>5000</v>
      </c>
      <c r="M90" s="61"/>
      <c r="N90" s="61"/>
      <c r="O90" s="62"/>
      <c r="P90" s="126">
        <f t="shared" si="14"/>
        <v>7530</v>
      </c>
    </row>
    <row r="91" spans="1:16" ht="15">
      <c r="A91" s="118" t="s">
        <v>370</v>
      </c>
      <c r="B91" s="119" t="s">
        <v>151</v>
      </c>
      <c r="C91" s="120">
        <v>408039</v>
      </c>
      <c r="D91" s="121">
        <v>303880</v>
      </c>
      <c r="E91" s="1"/>
      <c r="F91" s="39"/>
      <c r="G91" s="1"/>
      <c r="H91" s="86"/>
      <c r="I91" s="86"/>
      <c r="J91" s="86"/>
      <c r="K91" s="61">
        <v>1204</v>
      </c>
      <c r="L91" s="62"/>
      <c r="M91" s="62"/>
      <c r="N91" s="62"/>
      <c r="O91" s="62"/>
      <c r="P91" s="126">
        <f t="shared" si="14"/>
        <v>305084</v>
      </c>
    </row>
    <row r="92" spans="1:16" ht="15">
      <c r="A92" s="125" t="s">
        <v>59</v>
      </c>
      <c r="B92" s="81" t="s">
        <v>60</v>
      </c>
      <c r="C92" s="6">
        <f>SUM(C93:C101)</f>
        <v>4205382</v>
      </c>
      <c r="D92" s="6">
        <f>SUM(D93:D102)</f>
        <v>10831299</v>
      </c>
      <c r="E92" s="6">
        <f aca="true" t="shared" si="22" ref="E92:O92">SUM(E93:E102)</f>
        <v>309225</v>
      </c>
      <c r="F92" s="6">
        <f t="shared" si="22"/>
        <v>0</v>
      </c>
      <c r="G92" s="6">
        <f t="shared" si="22"/>
        <v>0</v>
      </c>
      <c r="H92" s="6">
        <f t="shared" si="22"/>
        <v>61133</v>
      </c>
      <c r="I92" s="6">
        <f t="shared" si="22"/>
        <v>15605</v>
      </c>
      <c r="J92" s="6">
        <f t="shared" si="22"/>
        <v>33154</v>
      </c>
      <c r="K92" s="6">
        <f t="shared" si="22"/>
        <v>50984</v>
      </c>
      <c r="L92" s="6">
        <f t="shared" si="22"/>
        <v>0</v>
      </c>
      <c r="M92" s="6">
        <f t="shared" si="22"/>
        <v>0</v>
      </c>
      <c r="N92" s="6">
        <f t="shared" si="22"/>
        <v>0</v>
      </c>
      <c r="O92" s="6">
        <f t="shared" si="22"/>
        <v>0</v>
      </c>
      <c r="P92" s="126">
        <f t="shared" si="14"/>
        <v>11301400</v>
      </c>
    </row>
    <row r="93" spans="1:16" ht="15">
      <c r="A93" s="127" t="s">
        <v>473</v>
      </c>
      <c r="B93" s="38" t="s">
        <v>116</v>
      </c>
      <c r="C93" s="7">
        <f>2115377-4611</f>
        <v>2110766</v>
      </c>
      <c r="D93" s="1">
        <v>689828</v>
      </c>
      <c r="E93" s="39">
        <v>72175</v>
      </c>
      <c r="F93" s="39"/>
      <c r="G93" s="1"/>
      <c r="H93" s="46"/>
      <c r="I93" s="86"/>
      <c r="J93" s="46">
        <v>20700</v>
      </c>
      <c r="K93" s="61"/>
      <c r="L93" s="61"/>
      <c r="M93" s="61"/>
      <c r="N93" s="61"/>
      <c r="O93" s="62"/>
      <c r="P93" s="126">
        <f t="shared" si="14"/>
        <v>782703</v>
      </c>
    </row>
    <row r="94" spans="1:16" ht="15">
      <c r="A94" s="127" t="s">
        <v>512</v>
      </c>
      <c r="B94" s="38" t="s">
        <v>489</v>
      </c>
      <c r="C94" s="7"/>
      <c r="D94" s="1">
        <v>3009875</v>
      </c>
      <c r="E94" s="39"/>
      <c r="F94" s="39"/>
      <c r="G94" s="1"/>
      <c r="H94" s="46"/>
      <c r="I94" s="86"/>
      <c r="J94" s="46"/>
      <c r="K94" s="61"/>
      <c r="L94" s="61"/>
      <c r="M94" s="61"/>
      <c r="N94" s="61"/>
      <c r="O94" s="62"/>
      <c r="P94" s="126">
        <f aca="true" t="shared" si="23" ref="P94:P125">SUM(D94:O94)</f>
        <v>3009875</v>
      </c>
    </row>
    <row r="95" spans="1:16" ht="15">
      <c r="A95" s="127" t="s">
        <v>513</v>
      </c>
      <c r="B95" s="38" t="s">
        <v>490</v>
      </c>
      <c r="C95" s="7"/>
      <c r="D95" s="1">
        <v>956915</v>
      </c>
      <c r="E95" s="39"/>
      <c r="F95" s="39"/>
      <c r="G95" s="1"/>
      <c r="H95" s="46"/>
      <c r="I95" s="86"/>
      <c r="J95" s="46"/>
      <c r="K95" s="61"/>
      <c r="L95" s="61"/>
      <c r="M95" s="61"/>
      <c r="N95" s="61"/>
      <c r="O95" s="62"/>
      <c r="P95" s="126">
        <f t="shared" si="23"/>
        <v>956915</v>
      </c>
    </row>
    <row r="96" spans="1:16" ht="30">
      <c r="A96" s="127" t="s">
        <v>514</v>
      </c>
      <c r="B96" s="38" t="s">
        <v>491</v>
      </c>
      <c r="C96" s="7"/>
      <c r="D96" s="1">
        <v>39483</v>
      </c>
      <c r="E96" s="39"/>
      <c r="F96" s="39"/>
      <c r="G96" s="1"/>
      <c r="H96" s="46"/>
      <c r="I96" s="86"/>
      <c r="J96" s="46"/>
      <c r="K96" s="61"/>
      <c r="L96" s="61"/>
      <c r="M96" s="61"/>
      <c r="N96" s="61"/>
      <c r="O96" s="62"/>
      <c r="P96" s="126">
        <f t="shared" si="23"/>
        <v>39483</v>
      </c>
    </row>
    <row r="97" spans="1:16" ht="30">
      <c r="A97" s="127" t="s">
        <v>515</v>
      </c>
      <c r="B97" s="38" t="s">
        <v>492</v>
      </c>
      <c r="C97" s="7"/>
      <c r="D97" s="1">
        <v>36300</v>
      </c>
      <c r="E97" s="39"/>
      <c r="F97" s="39"/>
      <c r="G97" s="1"/>
      <c r="H97" s="46"/>
      <c r="I97" s="86"/>
      <c r="J97" s="46"/>
      <c r="K97" s="61"/>
      <c r="L97" s="61"/>
      <c r="M97" s="61"/>
      <c r="N97" s="61"/>
      <c r="O97" s="62"/>
      <c r="P97" s="126">
        <f t="shared" si="23"/>
        <v>36300</v>
      </c>
    </row>
    <row r="98" spans="1:16" ht="15">
      <c r="A98" s="127" t="s">
        <v>210</v>
      </c>
      <c r="B98" s="160" t="s">
        <v>276</v>
      </c>
      <c r="C98" s="170">
        <v>385514</v>
      </c>
      <c r="D98" s="1"/>
      <c r="E98" s="39">
        <v>237050</v>
      </c>
      <c r="F98" s="39"/>
      <c r="G98" s="1"/>
      <c r="H98" s="46">
        <v>61133</v>
      </c>
      <c r="I98" s="46">
        <v>15605</v>
      </c>
      <c r="J98" s="46">
        <v>12454</v>
      </c>
      <c r="K98" s="61">
        <v>50984</v>
      </c>
      <c r="L98" s="61"/>
      <c r="M98" s="61"/>
      <c r="N98" s="61"/>
      <c r="O98" s="62"/>
      <c r="P98" s="126">
        <f t="shared" si="23"/>
        <v>377226</v>
      </c>
    </row>
    <row r="99" spans="1:16" ht="30">
      <c r="A99" s="127" t="s">
        <v>289</v>
      </c>
      <c r="B99" s="160" t="s">
        <v>371</v>
      </c>
      <c r="C99" s="170">
        <v>213539</v>
      </c>
      <c r="D99" s="1"/>
      <c r="E99" s="39"/>
      <c r="F99" s="39"/>
      <c r="G99" s="1"/>
      <c r="H99" s="61"/>
      <c r="I99" s="86"/>
      <c r="J99" s="86"/>
      <c r="K99" s="62"/>
      <c r="L99" s="62"/>
      <c r="M99" s="62"/>
      <c r="N99" s="62"/>
      <c r="O99" s="62"/>
      <c r="P99" s="126">
        <f t="shared" si="23"/>
        <v>0</v>
      </c>
    </row>
    <row r="100" spans="1:16" ht="30">
      <c r="A100" s="127" t="s">
        <v>303</v>
      </c>
      <c r="B100" s="160" t="s">
        <v>304</v>
      </c>
      <c r="C100" s="170">
        <v>1495563</v>
      </c>
      <c r="D100" s="1">
        <v>500000</v>
      </c>
      <c r="E100" s="39"/>
      <c r="F100" s="39"/>
      <c r="G100" s="1"/>
      <c r="H100" s="61"/>
      <c r="I100" s="86"/>
      <c r="J100" s="86"/>
      <c r="K100" s="62"/>
      <c r="L100" s="62"/>
      <c r="M100" s="62"/>
      <c r="N100" s="62"/>
      <c r="O100" s="62"/>
      <c r="P100" s="126">
        <f t="shared" si="23"/>
        <v>500000</v>
      </c>
    </row>
    <row r="101" spans="1:16" ht="30">
      <c r="A101" s="127" t="s">
        <v>346</v>
      </c>
      <c r="B101" s="160" t="s">
        <v>500</v>
      </c>
      <c r="C101" s="170"/>
      <c r="D101" s="1">
        <v>1598898</v>
      </c>
      <c r="E101" s="39"/>
      <c r="F101" s="39"/>
      <c r="G101" s="1"/>
      <c r="H101" s="61"/>
      <c r="I101" s="86"/>
      <c r="J101" s="86"/>
      <c r="K101" s="62"/>
      <c r="L101" s="62"/>
      <c r="M101" s="62"/>
      <c r="N101" s="62"/>
      <c r="O101" s="62"/>
      <c r="P101" s="126">
        <f t="shared" si="23"/>
        <v>1598898</v>
      </c>
    </row>
    <row r="102" spans="1:16" ht="45">
      <c r="A102" s="127" t="s">
        <v>493</v>
      </c>
      <c r="B102" s="160" t="s">
        <v>494</v>
      </c>
      <c r="C102" s="171"/>
      <c r="D102" s="1">
        <v>4000000</v>
      </c>
      <c r="E102" s="39"/>
      <c r="F102" s="39"/>
      <c r="G102" s="1"/>
      <c r="H102" s="61"/>
      <c r="I102" s="86"/>
      <c r="J102" s="86"/>
      <c r="K102" s="62"/>
      <c r="L102" s="62"/>
      <c r="M102" s="62"/>
      <c r="N102" s="62"/>
      <c r="O102" s="62"/>
      <c r="P102" s="126">
        <f t="shared" si="23"/>
        <v>4000000</v>
      </c>
    </row>
    <row r="103" spans="1:16" ht="15">
      <c r="A103" s="125" t="s">
        <v>61</v>
      </c>
      <c r="B103" s="128" t="s">
        <v>62</v>
      </c>
      <c r="C103" s="6">
        <f>SUM(C104:C104)</f>
        <v>0</v>
      </c>
      <c r="D103" s="6">
        <f>SUM(D104:D104)</f>
        <v>0</v>
      </c>
      <c r="E103" s="39"/>
      <c r="F103" s="39"/>
      <c r="G103" s="1"/>
      <c r="H103" s="82">
        <f aca="true" t="shared" si="24" ref="H103:O103">SUM(H104:H104)</f>
        <v>0</v>
      </c>
      <c r="I103" s="82">
        <f t="shared" si="24"/>
        <v>0</v>
      </c>
      <c r="J103" s="82">
        <f>SUM(J104:J104)</f>
        <v>0</v>
      </c>
      <c r="K103" s="6">
        <f t="shared" si="24"/>
        <v>0</v>
      </c>
      <c r="L103" s="6">
        <f t="shared" si="24"/>
        <v>0</v>
      </c>
      <c r="M103" s="6">
        <f t="shared" si="24"/>
        <v>0</v>
      </c>
      <c r="N103" s="6">
        <f t="shared" si="24"/>
        <v>0</v>
      </c>
      <c r="O103" s="6">
        <f t="shared" si="24"/>
        <v>0</v>
      </c>
      <c r="P103" s="126">
        <f t="shared" si="23"/>
        <v>0</v>
      </c>
    </row>
    <row r="104" spans="1:16" ht="15.75" thickBot="1">
      <c r="A104" s="127" t="s">
        <v>211</v>
      </c>
      <c r="B104" s="38" t="s">
        <v>290</v>
      </c>
      <c r="C104" s="7"/>
      <c r="D104" s="1"/>
      <c r="E104" s="39"/>
      <c r="F104" s="39"/>
      <c r="G104" s="1"/>
      <c r="H104" s="61"/>
      <c r="I104" s="86"/>
      <c r="J104" s="86"/>
      <c r="K104" s="61"/>
      <c r="L104" s="61"/>
      <c r="M104" s="61"/>
      <c r="N104" s="61"/>
      <c r="O104" s="62"/>
      <c r="P104" s="126">
        <f t="shared" si="23"/>
        <v>0</v>
      </c>
    </row>
    <row r="105" spans="1:16" ht="15.75" thickBot="1">
      <c r="A105" s="144" t="s">
        <v>13</v>
      </c>
      <c r="B105" s="172" t="s">
        <v>63</v>
      </c>
      <c r="C105" s="8">
        <f>C106+C109+C112+C117</f>
        <v>4702013</v>
      </c>
      <c r="D105" s="8">
        <f>D106+D109+D112+D117</f>
        <v>2728880</v>
      </c>
      <c r="E105" s="8">
        <f aca="true" t="shared" si="25" ref="E105:O105">E106+E109+E112+E117</f>
        <v>960364</v>
      </c>
      <c r="F105" s="8">
        <f t="shared" si="25"/>
        <v>0</v>
      </c>
      <c r="G105" s="8">
        <f t="shared" si="25"/>
        <v>85900</v>
      </c>
      <c r="H105" s="8">
        <f t="shared" si="25"/>
        <v>0</v>
      </c>
      <c r="I105" s="8">
        <f t="shared" si="25"/>
        <v>24100</v>
      </c>
      <c r="J105" s="8">
        <f t="shared" si="25"/>
        <v>22592</v>
      </c>
      <c r="K105" s="8">
        <f t="shared" si="25"/>
        <v>58237</v>
      </c>
      <c r="L105" s="8">
        <f t="shared" si="25"/>
        <v>901</v>
      </c>
      <c r="M105" s="8">
        <f t="shared" si="25"/>
        <v>10593</v>
      </c>
      <c r="N105" s="8">
        <f t="shared" si="25"/>
        <v>0</v>
      </c>
      <c r="O105" s="8">
        <f t="shared" si="25"/>
        <v>11939</v>
      </c>
      <c r="P105" s="31">
        <f t="shared" si="23"/>
        <v>3903506</v>
      </c>
    </row>
    <row r="106" spans="1:16" ht="15">
      <c r="A106" s="118" t="s">
        <v>64</v>
      </c>
      <c r="B106" s="173" t="s">
        <v>65</v>
      </c>
      <c r="C106" s="121">
        <f>SUM(C107:C108)</f>
        <v>579899</v>
      </c>
      <c r="D106" s="121">
        <f>SUM(D107:D108)</f>
        <v>44392</v>
      </c>
      <c r="E106" s="121">
        <f aca="true" t="shared" si="26" ref="E106:O106">SUM(E107:E108)</f>
        <v>555620</v>
      </c>
      <c r="F106" s="121">
        <f t="shared" si="26"/>
        <v>0</v>
      </c>
      <c r="G106" s="121">
        <f t="shared" si="26"/>
        <v>28291</v>
      </c>
      <c r="H106" s="121">
        <f t="shared" si="26"/>
        <v>0</v>
      </c>
      <c r="I106" s="121">
        <f t="shared" si="26"/>
        <v>7200</v>
      </c>
      <c r="J106" s="121">
        <f t="shared" si="26"/>
        <v>22592</v>
      </c>
      <c r="K106" s="121">
        <f t="shared" si="26"/>
        <v>25162</v>
      </c>
      <c r="L106" s="121">
        <f t="shared" si="26"/>
        <v>0</v>
      </c>
      <c r="M106" s="121">
        <f t="shared" si="26"/>
        <v>4665</v>
      </c>
      <c r="N106" s="121">
        <f t="shared" si="26"/>
        <v>0</v>
      </c>
      <c r="O106" s="121">
        <f t="shared" si="26"/>
        <v>0</v>
      </c>
      <c r="P106" s="174">
        <f t="shared" si="23"/>
        <v>687922</v>
      </c>
    </row>
    <row r="107" spans="1:16" ht="30">
      <c r="A107" s="127" t="s">
        <v>212</v>
      </c>
      <c r="B107" s="38" t="s">
        <v>372</v>
      </c>
      <c r="C107" s="7">
        <f>90771+489128</f>
        <v>579899</v>
      </c>
      <c r="D107" s="1">
        <v>24790</v>
      </c>
      <c r="E107" s="39">
        <v>555620</v>
      </c>
      <c r="F107" s="39"/>
      <c r="G107" s="1">
        <v>28291</v>
      </c>
      <c r="H107" s="46"/>
      <c r="I107" s="46">
        <v>7200</v>
      </c>
      <c r="J107" s="46">
        <v>22592</v>
      </c>
      <c r="K107" s="61">
        <v>25162</v>
      </c>
      <c r="L107" s="61"/>
      <c r="M107" s="61">
        <v>4665</v>
      </c>
      <c r="N107" s="61"/>
      <c r="O107" s="62"/>
      <c r="P107" s="126">
        <f t="shared" si="23"/>
        <v>668320</v>
      </c>
    </row>
    <row r="108" spans="1:16" ht="15">
      <c r="A108" s="127" t="s">
        <v>305</v>
      </c>
      <c r="B108" s="145" t="s">
        <v>306</v>
      </c>
      <c r="C108" s="146">
        <v>0</v>
      </c>
      <c r="D108" s="1">
        <v>19602</v>
      </c>
      <c r="E108" s="1"/>
      <c r="F108" s="1"/>
      <c r="G108" s="1"/>
      <c r="H108" s="46"/>
      <c r="I108" s="86"/>
      <c r="J108" s="86"/>
      <c r="K108" s="62"/>
      <c r="L108" s="62"/>
      <c r="M108" s="62"/>
      <c r="N108" s="62"/>
      <c r="O108" s="62"/>
      <c r="P108" s="126">
        <f t="shared" si="23"/>
        <v>19602</v>
      </c>
    </row>
    <row r="109" spans="1:16" ht="15">
      <c r="A109" s="125" t="s">
        <v>66</v>
      </c>
      <c r="B109" s="128" t="s">
        <v>67</v>
      </c>
      <c r="C109" s="6">
        <f>SUM(C110:C111)</f>
        <v>416120</v>
      </c>
      <c r="D109" s="6">
        <f>SUM(D110:D111)</f>
        <v>0</v>
      </c>
      <c r="E109" s="6">
        <f>SUM(E110:E111)</f>
        <v>404744</v>
      </c>
      <c r="F109" s="6">
        <f>SUM(F110:F111)</f>
        <v>0</v>
      </c>
      <c r="G109" s="6">
        <f>SUM(G110:G111)</f>
        <v>57609</v>
      </c>
      <c r="H109" s="82">
        <f aca="true" t="shared" si="27" ref="H109:O109">SUM(H110:H111)</f>
        <v>0</v>
      </c>
      <c r="I109" s="82">
        <f t="shared" si="27"/>
        <v>16900</v>
      </c>
      <c r="J109" s="82">
        <f t="shared" si="27"/>
        <v>0</v>
      </c>
      <c r="K109" s="6">
        <f t="shared" si="27"/>
        <v>33075</v>
      </c>
      <c r="L109" s="6">
        <f t="shared" si="27"/>
        <v>901</v>
      </c>
      <c r="M109" s="6">
        <f t="shared" si="27"/>
        <v>5928</v>
      </c>
      <c r="N109" s="6">
        <f t="shared" si="27"/>
        <v>0</v>
      </c>
      <c r="O109" s="6">
        <f t="shared" si="27"/>
        <v>11939</v>
      </c>
      <c r="P109" s="126">
        <f t="shared" si="23"/>
        <v>531096</v>
      </c>
    </row>
    <row r="110" spans="1:16" ht="15">
      <c r="A110" s="127" t="s">
        <v>213</v>
      </c>
      <c r="B110" s="160" t="s">
        <v>129</v>
      </c>
      <c r="C110" s="170">
        <v>66372</v>
      </c>
      <c r="D110" s="1"/>
      <c r="E110" s="39">
        <v>18718</v>
      </c>
      <c r="F110" s="39"/>
      <c r="G110" s="1"/>
      <c r="H110" s="86"/>
      <c r="I110" s="86"/>
      <c r="J110" s="86"/>
      <c r="K110" s="61"/>
      <c r="L110" s="61"/>
      <c r="M110" s="61"/>
      <c r="N110" s="61"/>
      <c r="O110" s="62"/>
      <c r="P110" s="126">
        <f t="shared" si="23"/>
        <v>18718</v>
      </c>
    </row>
    <row r="111" spans="1:18" ht="15">
      <c r="A111" s="175" t="s">
        <v>214</v>
      </c>
      <c r="B111" s="160" t="s">
        <v>118</v>
      </c>
      <c r="C111" s="170">
        <v>349748</v>
      </c>
      <c r="D111" s="1"/>
      <c r="E111" s="39">
        <v>386026</v>
      </c>
      <c r="F111" s="39"/>
      <c r="G111" s="1">
        <v>57609</v>
      </c>
      <c r="H111" s="46"/>
      <c r="I111" s="46">
        <v>16900</v>
      </c>
      <c r="J111" s="86"/>
      <c r="K111" s="61">
        <v>33075</v>
      </c>
      <c r="L111" s="61">
        <v>901</v>
      </c>
      <c r="M111" s="61">
        <v>5928</v>
      </c>
      <c r="N111" s="61"/>
      <c r="O111" s="176">
        <v>11939</v>
      </c>
      <c r="P111" s="126">
        <f t="shared" si="23"/>
        <v>512378</v>
      </c>
      <c r="Q111" s="15"/>
      <c r="R111" s="15"/>
    </row>
    <row r="112" spans="1:16" s="15" customFormat="1" ht="28.5">
      <c r="A112" s="125" t="s">
        <v>217</v>
      </c>
      <c r="B112" s="173" t="s">
        <v>218</v>
      </c>
      <c r="C112" s="121">
        <f>SUM(C113:C116)</f>
        <v>3705994</v>
      </c>
      <c r="D112" s="121">
        <f>SUM(D113:D116)</f>
        <v>2684488</v>
      </c>
      <c r="E112" s="121">
        <f aca="true" t="shared" si="28" ref="E112:O112">SUM(E113:E116)</f>
        <v>0</v>
      </c>
      <c r="F112" s="121">
        <f t="shared" si="28"/>
        <v>0</v>
      </c>
      <c r="G112" s="121">
        <f t="shared" si="28"/>
        <v>0</v>
      </c>
      <c r="H112" s="121">
        <f t="shared" si="28"/>
        <v>0</v>
      </c>
      <c r="I112" s="121">
        <f t="shared" si="28"/>
        <v>0</v>
      </c>
      <c r="J112" s="121">
        <f t="shared" si="28"/>
        <v>0</v>
      </c>
      <c r="K112" s="121">
        <f t="shared" si="28"/>
        <v>0</v>
      </c>
      <c r="L112" s="121">
        <f t="shared" si="28"/>
        <v>0</v>
      </c>
      <c r="M112" s="121">
        <f t="shared" si="28"/>
        <v>0</v>
      </c>
      <c r="N112" s="121">
        <f t="shared" si="28"/>
        <v>0</v>
      </c>
      <c r="O112" s="121">
        <f t="shared" si="28"/>
        <v>0</v>
      </c>
      <c r="P112" s="126">
        <f t="shared" si="23"/>
        <v>2684488</v>
      </c>
    </row>
    <row r="113" spans="1:16" s="15" customFormat="1" ht="15">
      <c r="A113" s="127" t="s">
        <v>373</v>
      </c>
      <c r="B113" s="177" t="s">
        <v>374</v>
      </c>
      <c r="C113" s="178"/>
      <c r="D113" s="179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6">
        <f t="shared" si="23"/>
        <v>0</v>
      </c>
    </row>
    <row r="114" spans="1:16" s="15" customFormat="1" ht="45">
      <c r="A114" s="127" t="s">
        <v>307</v>
      </c>
      <c r="B114" s="145" t="s">
        <v>327</v>
      </c>
      <c r="C114" s="166">
        <v>810257</v>
      </c>
      <c r="D114" s="121">
        <v>560687</v>
      </c>
      <c r="E114" s="121"/>
      <c r="F114" s="121"/>
      <c r="G114" s="121"/>
      <c r="H114" s="78"/>
      <c r="I114" s="121"/>
      <c r="J114" s="121"/>
      <c r="K114" s="121"/>
      <c r="L114" s="121"/>
      <c r="M114" s="121"/>
      <c r="N114" s="121"/>
      <c r="O114" s="121"/>
      <c r="P114" s="126">
        <f t="shared" si="23"/>
        <v>560687</v>
      </c>
    </row>
    <row r="115" spans="1:16" s="15" customFormat="1" ht="44.25" customHeight="1">
      <c r="A115" s="127" t="s">
        <v>308</v>
      </c>
      <c r="B115" s="167" t="s">
        <v>328</v>
      </c>
      <c r="C115" s="180">
        <v>0</v>
      </c>
      <c r="D115" s="121">
        <v>1815872</v>
      </c>
      <c r="E115" s="121"/>
      <c r="F115" s="121"/>
      <c r="G115" s="121"/>
      <c r="H115" s="78"/>
      <c r="I115" s="121"/>
      <c r="J115" s="121"/>
      <c r="K115" s="121"/>
      <c r="L115" s="121"/>
      <c r="M115" s="121"/>
      <c r="N115" s="121"/>
      <c r="O115" s="121"/>
      <c r="P115" s="126">
        <f t="shared" si="23"/>
        <v>1815872</v>
      </c>
    </row>
    <row r="116" spans="1:18" s="15" customFormat="1" ht="30">
      <c r="A116" s="127" t="s">
        <v>342</v>
      </c>
      <c r="B116" s="181" t="s">
        <v>375</v>
      </c>
      <c r="C116" s="180">
        <v>2895737</v>
      </c>
      <c r="D116" s="121">
        <v>307929</v>
      </c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6">
        <f t="shared" si="23"/>
        <v>307929</v>
      </c>
      <c r="Q116" s="10"/>
      <c r="R116" s="10"/>
    </row>
    <row r="117" spans="1:16" ht="29.25">
      <c r="A117" s="118" t="s">
        <v>215</v>
      </c>
      <c r="B117" s="173" t="s">
        <v>216</v>
      </c>
      <c r="C117" s="121">
        <f>SUM(C118)</f>
        <v>0</v>
      </c>
      <c r="D117" s="121">
        <f>SUM(D118)</f>
        <v>0</v>
      </c>
      <c r="E117" s="121">
        <f aca="true" t="shared" si="29" ref="E117:O117">SUM(E118)</f>
        <v>0</v>
      </c>
      <c r="F117" s="121">
        <f t="shared" si="29"/>
        <v>0</v>
      </c>
      <c r="G117" s="121">
        <f t="shared" si="29"/>
        <v>0</v>
      </c>
      <c r="H117" s="121">
        <f t="shared" si="29"/>
        <v>0</v>
      </c>
      <c r="I117" s="121">
        <f t="shared" si="29"/>
        <v>0</v>
      </c>
      <c r="J117" s="121">
        <f t="shared" si="29"/>
        <v>0</v>
      </c>
      <c r="K117" s="121">
        <f t="shared" si="29"/>
        <v>0</v>
      </c>
      <c r="L117" s="121">
        <f t="shared" si="29"/>
        <v>0</v>
      </c>
      <c r="M117" s="121">
        <f t="shared" si="29"/>
        <v>0</v>
      </c>
      <c r="N117" s="121">
        <f t="shared" si="29"/>
        <v>0</v>
      </c>
      <c r="O117" s="121">
        <f t="shared" si="29"/>
        <v>0</v>
      </c>
      <c r="P117" s="126">
        <f t="shared" si="23"/>
        <v>0</v>
      </c>
    </row>
    <row r="118" spans="1:16" ht="30.75" thickBot="1">
      <c r="A118" s="127" t="s">
        <v>376</v>
      </c>
      <c r="B118" s="182" t="s">
        <v>377</v>
      </c>
      <c r="C118" s="183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6">
        <f t="shared" si="23"/>
        <v>0</v>
      </c>
    </row>
    <row r="119" spans="1:16" ht="30" thickBot="1">
      <c r="A119" s="144" t="s">
        <v>14</v>
      </c>
      <c r="B119" s="172" t="s">
        <v>68</v>
      </c>
      <c r="C119" s="8">
        <f aca="true" t="shared" si="30" ref="C119:O119">SUM(C120:C125)</f>
        <v>12735980</v>
      </c>
      <c r="D119" s="8">
        <f t="shared" si="30"/>
        <v>1747042</v>
      </c>
      <c r="E119" s="8">
        <f t="shared" si="30"/>
        <v>10925220</v>
      </c>
      <c r="F119" s="8">
        <f t="shared" si="30"/>
        <v>0</v>
      </c>
      <c r="G119" s="8">
        <f t="shared" si="30"/>
        <v>270915</v>
      </c>
      <c r="H119" s="30">
        <f t="shared" si="30"/>
        <v>85191</v>
      </c>
      <c r="I119" s="30">
        <f t="shared" si="30"/>
        <v>174281</v>
      </c>
      <c r="J119" s="30">
        <f t="shared" si="30"/>
        <v>222269</v>
      </c>
      <c r="K119" s="8">
        <f t="shared" si="30"/>
        <v>318109</v>
      </c>
      <c r="L119" s="8">
        <f t="shared" si="30"/>
        <v>34373</v>
      </c>
      <c r="M119" s="8">
        <f t="shared" si="30"/>
        <v>93110</v>
      </c>
      <c r="N119" s="8">
        <f t="shared" si="30"/>
        <v>111866</v>
      </c>
      <c r="O119" s="8">
        <f t="shared" si="30"/>
        <v>104914</v>
      </c>
      <c r="P119" s="31">
        <f t="shared" si="23"/>
        <v>14087290</v>
      </c>
    </row>
    <row r="120" spans="1:16" ht="15">
      <c r="A120" s="118" t="s">
        <v>281</v>
      </c>
      <c r="B120" s="173" t="s">
        <v>378</v>
      </c>
      <c r="C120" s="184"/>
      <c r="D120" s="121"/>
      <c r="E120" s="78"/>
      <c r="F120" s="34"/>
      <c r="G120" s="35"/>
      <c r="H120" s="79"/>
      <c r="I120" s="185"/>
      <c r="J120" s="79"/>
      <c r="K120" s="59"/>
      <c r="L120" s="59"/>
      <c r="M120" s="59"/>
      <c r="N120" s="59"/>
      <c r="O120" s="60"/>
      <c r="P120" s="124">
        <f t="shared" si="23"/>
        <v>0</v>
      </c>
    </row>
    <row r="121" spans="1:16" ht="15">
      <c r="A121" s="158" t="s">
        <v>309</v>
      </c>
      <c r="B121" s="182" t="s">
        <v>183</v>
      </c>
      <c r="C121" s="183"/>
      <c r="D121" s="121"/>
      <c r="E121" s="78"/>
      <c r="F121" s="34"/>
      <c r="G121" s="35"/>
      <c r="H121" s="79"/>
      <c r="I121" s="19"/>
      <c r="J121" s="79"/>
      <c r="K121" s="59"/>
      <c r="L121" s="59"/>
      <c r="M121" s="59"/>
      <c r="N121" s="59"/>
      <c r="O121" s="60"/>
      <c r="P121" s="54">
        <f t="shared" si="23"/>
        <v>0</v>
      </c>
    </row>
    <row r="122" spans="1:16" ht="15">
      <c r="A122" s="125" t="s">
        <v>379</v>
      </c>
      <c r="B122" s="128" t="s">
        <v>273</v>
      </c>
      <c r="C122" s="129">
        <v>165993</v>
      </c>
      <c r="D122" s="1">
        <v>458210</v>
      </c>
      <c r="E122" s="82"/>
      <c r="F122" s="39"/>
      <c r="G122" s="1"/>
      <c r="H122" s="86"/>
      <c r="I122" s="86"/>
      <c r="J122" s="86"/>
      <c r="K122" s="61"/>
      <c r="L122" s="61"/>
      <c r="M122" s="61"/>
      <c r="N122" s="61"/>
      <c r="O122" s="62"/>
      <c r="P122" s="126">
        <f t="shared" si="23"/>
        <v>458210</v>
      </c>
    </row>
    <row r="123" spans="1:16" ht="15">
      <c r="A123" s="125" t="s">
        <v>69</v>
      </c>
      <c r="B123" s="128" t="s">
        <v>70</v>
      </c>
      <c r="C123" s="186">
        <v>339410</v>
      </c>
      <c r="D123" s="1"/>
      <c r="E123" s="39">
        <v>238202</v>
      </c>
      <c r="F123" s="39"/>
      <c r="G123" s="1">
        <v>34544</v>
      </c>
      <c r="H123" s="46"/>
      <c r="I123" s="46">
        <v>17020</v>
      </c>
      <c r="J123" s="46">
        <v>15773</v>
      </c>
      <c r="K123" s="61">
        <v>49081</v>
      </c>
      <c r="L123" s="61">
        <v>5000</v>
      </c>
      <c r="M123" s="61">
        <v>5424</v>
      </c>
      <c r="N123" s="61">
        <v>99310</v>
      </c>
      <c r="O123" s="62">
        <v>4550</v>
      </c>
      <c r="P123" s="126">
        <f t="shared" si="23"/>
        <v>468904</v>
      </c>
    </row>
    <row r="124" spans="1:16" ht="15">
      <c r="A124" s="125" t="s">
        <v>474</v>
      </c>
      <c r="B124" s="128" t="s">
        <v>71</v>
      </c>
      <c r="C124" s="186">
        <v>459884</v>
      </c>
      <c r="D124" s="6">
        <v>538579</v>
      </c>
      <c r="E124" s="39">
        <v>152277</v>
      </c>
      <c r="F124" s="39"/>
      <c r="G124" s="1"/>
      <c r="H124" s="46">
        <v>5400</v>
      </c>
      <c r="I124" s="46">
        <v>1200</v>
      </c>
      <c r="J124" s="86"/>
      <c r="K124" s="61">
        <v>4225</v>
      </c>
      <c r="L124" s="61"/>
      <c r="M124" s="61"/>
      <c r="N124" s="61">
        <v>1200</v>
      </c>
      <c r="O124" s="62"/>
      <c r="P124" s="126">
        <f t="shared" si="23"/>
        <v>702881</v>
      </c>
    </row>
    <row r="125" spans="1:16" ht="43.5">
      <c r="A125" s="125" t="s">
        <v>72</v>
      </c>
      <c r="B125" s="128" t="s">
        <v>73</v>
      </c>
      <c r="C125" s="6">
        <f>SUM(C126:C142)</f>
        <v>11770693</v>
      </c>
      <c r="D125" s="6">
        <f>SUM(D126:D142)</f>
        <v>750253</v>
      </c>
      <c r="E125" s="6">
        <f aca="true" t="shared" si="31" ref="E125:O125">SUM(E126:E142)</f>
        <v>10534741</v>
      </c>
      <c r="F125" s="6">
        <f t="shared" si="31"/>
        <v>0</v>
      </c>
      <c r="G125" s="6">
        <f t="shared" si="31"/>
        <v>236371</v>
      </c>
      <c r="H125" s="6">
        <f t="shared" si="31"/>
        <v>79791</v>
      </c>
      <c r="I125" s="6">
        <f t="shared" si="31"/>
        <v>156061</v>
      </c>
      <c r="J125" s="6">
        <f t="shared" si="31"/>
        <v>206496</v>
      </c>
      <c r="K125" s="6">
        <f t="shared" si="31"/>
        <v>264803</v>
      </c>
      <c r="L125" s="6">
        <f>SUM(L126:L142)</f>
        <v>29373</v>
      </c>
      <c r="M125" s="6">
        <f t="shared" si="31"/>
        <v>87686</v>
      </c>
      <c r="N125" s="6">
        <f t="shared" si="31"/>
        <v>11356</v>
      </c>
      <c r="O125" s="6">
        <f t="shared" si="31"/>
        <v>100364</v>
      </c>
      <c r="P125" s="126">
        <f t="shared" si="23"/>
        <v>12457295</v>
      </c>
    </row>
    <row r="126" spans="1:16" ht="15">
      <c r="A126" s="127" t="s">
        <v>219</v>
      </c>
      <c r="B126" s="160" t="s">
        <v>380</v>
      </c>
      <c r="C126" s="170">
        <v>6159899</v>
      </c>
      <c r="D126" s="1"/>
      <c r="E126" s="39">
        <v>6309979</v>
      </c>
      <c r="F126" s="39"/>
      <c r="G126" s="1">
        <v>67571</v>
      </c>
      <c r="H126" s="9"/>
      <c r="I126" s="58">
        <f>1050+4050</f>
        <v>5100</v>
      </c>
      <c r="J126" s="46">
        <v>8335</v>
      </c>
      <c r="K126" s="61">
        <v>3680</v>
      </c>
      <c r="L126" s="61"/>
      <c r="M126" s="61"/>
      <c r="N126" s="61"/>
      <c r="O126" s="61">
        <v>100364</v>
      </c>
      <c r="P126" s="126">
        <f aca="true" t="shared" si="32" ref="P126:P157">SUM(D126:O126)</f>
        <v>6495029</v>
      </c>
    </row>
    <row r="127" spans="1:16" ht="15">
      <c r="A127" s="127" t="s">
        <v>220</v>
      </c>
      <c r="B127" s="160" t="s">
        <v>381</v>
      </c>
      <c r="C127" s="170">
        <v>4328640</v>
      </c>
      <c r="D127" s="1"/>
      <c r="E127" s="39">
        <v>4207507</v>
      </c>
      <c r="F127" s="39"/>
      <c r="G127" s="1">
        <v>168800</v>
      </c>
      <c r="H127" s="9"/>
      <c r="I127" s="46">
        <v>113871</v>
      </c>
      <c r="J127" s="46">
        <v>87356</v>
      </c>
      <c r="K127" s="61">
        <v>133820</v>
      </c>
      <c r="L127" s="61"/>
      <c r="M127" s="61"/>
      <c r="N127" s="61"/>
      <c r="O127" s="62"/>
      <c r="P127" s="126">
        <f t="shared" si="32"/>
        <v>4711354</v>
      </c>
    </row>
    <row r="128" spans="1:16" ht="15">
      <c r="A128" s="127" t="s">
        <v>221</v>
      </c>
      <c r="B128" s="160" t="s">
        <v>382</v>
      </c>
      <c r="C128" s="170">
        <v>190754</v>
      </c>
      <c r="D128" s="1">
        <v>26940</v>
      </c>
      <c r="E128" s="39">
        <v>17255</v>
      </c>
      <c r="F128" s="39"/>
      <c r="G128" s="1"/>
      <c r="H128" s="46">
        <v>12966</v>
      </c>
      <c r="I128" s="86"/>
      <c r="J128" s="86"/>
      <c r="K128" s="61">
        <v>10314</v>
      </c>
      <c r="L128" s="61">
        <v>4544</v>
      </c>
      <c r="M128" s="61"/>
      <c r="N128" s="61">
        <v>6304</v>
      </c>
      <c r="O128" s="62"/>
      <c r="P128" s="126">
        <f t="shared" si="32"/>
        <v>78323</v>
      </c>
    </row>
    <row r="129" spans="1:16" ht="15">
      <c r="A129" s="127" t="s">
        <v>383</v>
      </c>
      <c r="B129" s="182" t="s">
        <v>384</v>
      </c>
      <c r="C129" s="161"/>
      <c r="D129" s="35"/>
      <c r="E129" s="39"/>
      <c r="F129" s="39"/>
      <c r="G129" s="1"/>
      <c r="H129" s="46"/>
      <c r="I129" s="86"/>
      <c r="J129" s="86"/>
      <c r="K129" s="61"/>
      <c r="L129" s="61"/>
      <c r="M129" s="61"/>
      <c r="N129" s="61"/>
      <c r="O129" s="62"/>
      <c r="P129" s="126">
        <f t="shared" si="32"/>
        <v>0</v>
      </c>
    </row>
    <row r="130" spans="1:16" ht="30">
      <c r="A130" s="127" t="s">
        <v>222</v>
      </c>
      <c r="B130" s="160" t="s">
        <v>385</v>
      </c>
      <c r="C130" s="161">
        <v>38868</v>
      </c>
      <c r="D130" s="35">
        <v>43600</v>
      </c>
      <c r="E130" s="39"/>
      <c r="F130" s="39"/>
      <c r="G130" s="1"/>
      <c r="H130" s="46"/>
      <c r="I130" s="46"/>
      <c r="J130" s="46"/>
      <c r="K130" s="61"/>
      <c r="L130" s="61"/>
      <c r="M130" s="61"/>
      <c r="N130" s="61"/>
      <c r="O130" s="62"/>
      <c r="P130" s="126">
        <f t="shared" si="32"/>
        <v>43600</v>
      </c>
    </row>
    <row r="131" spans="1:16" ht="30">
      <c r="A131" s="127" t="s">
        <v>223</v>
      </c>
      <c r="B131" s="182" t="s">
        <v>152</v>
      </c>
      <c r="C131" s="161">
        <v>42820</v>
      </c>
      <c r="D131" s="35">
        <v>40000</v>
      </c>
      <c r="E131" s="39"/>
      <c r="F131" s="39"/>
      <c r="G131" s="1"/>
      <c r="H131" s="46">
        <v>6467</v>
      </c>
      <c r="I131" s="86"/>
      <c r="J131" s="46">
        <v>9000</v>
      </c>
      <c r="K131" s="61">
        <v>2768</v>
      </c>
      <c r="L131" s="61"/>
      <c r="M131" s="61"/>
      <c r="N131" s="61"/>
      <c r="O131" s="62"/>
      <c r="P131" s="126">
        <f t="shared" si="32"/>
        <v>58235</v>
      </c>
    </row>
    <row r="132" spans="1:16" ht="15">
      <c r="A132" s="127" t="s">
        <v>224</v>
      </c>
      <c r="B132" s="187" t="s">
        <v>132</v>
      </c>
      <c r="C132" s="188">
        <v>108250</v>
      </c>
      <c r="D132" s="1">
        <v>35000</v>
      </c>
      <c r="E132" s="1"/>
      <c r="F132" s="1"/>
      <c r="G132" s="1"/>
      <c r="H132" s="46">
        <v>26209</v>
      </c>
      <c r="I132" s="86"/>
      <c r="J132" s="46">
        <v>101805</v>
      </c>
      <c r="K132" s="61"/>
      <c r="L132" s="61"/>
      <c r="M132" s="61"/>
      <c r="N132" s="61"/>
      <c r="O132" s="62"/>
      <c r="P132" s="126">
        <f t="shared" si="32"/>
        <v>163014</v>
      </c>
    </row>
    <row r="133" spans="1:16" ht="17.25" customHeight="1">
      <c r="A133" s="127" t="s">
        <v>225</v>
      </c>
      <c r="B133" s="160" t="s">
        <v>386</v>
      </c>
      <c r="C133" s="189">
        <v>21509</v>
      </c>
      <c r="D133" s="39">
        <v>3000</v>
      </c>
      <c r="E133" s="39"/>
      <c r="F133" s="39"/>
      <c r="G133" s="1"/>
      <c r="H133" s="86"/>
      <c r="I133" s="86"/>
      <c r="J133" s="86"/>
      <c r="K133" s="61"/>
      <c r="L133" s="61"/>
      <c r="M133" s="61"/>
      <c r="N133" s="61"/>
      <c r="O133" s="62"/>
      <c r="P133" s="126">
        <f t="shared" si="32"/>
        <v>3000</v>
      </c>
    </row>
    <row r="134" spans="1:16" ht="15">
      <c r="A134" s="127" t="s">
        <v>226</v>
      </c>
      <c r="B134" s="160" t="s">
        <v>277</v>
      </c>
      <c r="C134" s="170">
        <v>246178</v>
      </c>
      <c r="D134" s="1"/>
      <c r="E134" s="1"/>
      <c r="F134" s="1"/>
      <c r="G134" s="1"/>
      <c r="H134" s="86"/>
      <c r="I134" s="46">
        <v>37090</v>
      </c>
      <c r="J134" s="86"/>
      <c r="K134" s="61">
        <v>114221</v>
      </c>
      <c r="L134" s="62">
        <v>24829</v>
      </c>
      <c r="M134" s="61">
        <v>79458</v>
      </c>
      <c r="N134" s="61"/>
      <c r="O134" s="176"/>
      <c r="P134" s="126">
        <f t="shared" si="32"/>
        <v>255598</v>
      </c>
    </row>
    <row r="135" spans="1:16" ht="30">
      <c r="A135" s="127" t="s">
        <v>310</v>
      </c>
      <c r="B135" s="160" t="s">
        <v>387</v>
      </c>
      <c r="C135" s="170">
        <v>41799</v>
      </c>
      <c r="D135" s="1">
        <f>135387+150078</f>
        <v>285465</v>
      </c>
      <c r="E135" s="1"/>
      <c r="F135" s="1"/>
      <c r="G135" s="1"/>
      <c r="H135" s="86"/>
      <c r="I135" s="46"/>
      <c r="J135" s="86"/>
      <c r="K135" s="61"/>
      <c r="L135" s="62"/>
      <c r="M135" s="61"/>
      <c r="N135" s="61"/>
      <c r="O135" s="176"/>
      <c r="P135" s="126">
        <f t="shared" si="32"/>
        <v>285465</v>
      </c>
    </row>
    <row r="136" spans="1:16" ht="15">
      <c r="A136" s="127" t="s">
        <v>388</v>
      </c>
      <c r="B136" s="182" t="s">
        <v>384</v>
      </c>
      <c r="C136" s="161">
        <v>119904</v>
      </c>
      <c r="D136" s="1">
        <v>316248</v>
      </c>
      <c r="E136" s="1"/>
      <c r="F136" s="1"/>
      <c r="G136" s="1"/>
      <c r="H136" s="46">
        <v>34149</v>
      </c>
      <c r="I136" s="46"/>
      <c r="J136" s="86"/>
      <c r="K136" s="61"/>
      <c r="L136" s="62"/>
      <c r="M136" s="61"/>
      <c r="N136" s="61">
        <v>5052</v>
      </c>
      <c r="O136" s="176"/>
      <c r="P136" s="126">
        <f t="shared" si="32"/>
        <v>355449</v>
      </c>
    </row>
    <row r="137" spans="1:16" ht="15">
      <c r="A137" s="127" t="s">
        <v>311</v>
      </c>
      <c r="B137" s="160" t="s">
        <v>312</v>
      </c>
      <c r="C137" s="189">
        <v>846</v>
      </c>
      <c r="D137" s="39"/>
      <c r="E137" s="39"/>
      <c r="F137" s="39"/>
      <c r="G137" s="1"/>
      <c r="H137" s="86"/>
      <c r="I137" s="86"/>
      <c r="J137" s="86"/>
      <c r="K137" s="61"/>
      <c r="L137" s="61"/>
      <c r="M137" s="61"/>
      <c r="N137" s="61"/>
      <c r="O137" s="176"/>
      <c r="P137" s="126">
        <f t="shared" si="32"/>
        <v>0</v>
      </c>
    </row>
    <row r="138" spans="1:16" ht="30">
      <c r="A138" s="127" t="s">
        <v>333</v>
      </c>
      <c r="B138" s="160" t="s">
        <v>389</v>
      </c>
      <c r="C138" s="170">
        <v>217188</v>
      </c>
      <c r="D138" s="1"/>
      <c r="E138" s="1"/>
      <c r="F138" s="1"/>
      <c r="G138" s="1"/>
      <c r="H138" s="86"/>
      <c r="I138" s="190"/>
      <c r="J138" s="190"/>
      <c r="K138" s="62"/>
      <c r="L138" s="62"/>
      <c r="M138" s="62"/>
      <c r="N138" s="62"/>
      <c r="O138" s="176"/>
      <c r="P138" s="36">
        <f t="shared" si="32"/>
        <v>0</v>
      </c>
    </row>
    <row r="139" spans="1:16" ht="30">
      <c r="A139" s="127" t="s">
        <v>343</v>
      </c>
      <c r="B139" s="182" t="s">
        <v>390</v>
      </c>
      <c r="C139" s="161">
        <v>34936</v>
      </c>
      <c r="D139" s="35"/>
      <c r="E139" s="35"/>
      <c r="F139" s="35"/>
      <c r="G139" s="35"/>
      <c r="H139" s="191"/>
      <c r="I139" s="191"/>
      <c r="J139" s="191"/>
      <c r="K139" s="60"/>
      <c r="L139" s="60"/>
      <c r="M139" s="60"/>
      <c r="N139" s="60"/>
      <c r="O139" s="60"/>
      <c r="P139" s="36">
        <f t="shared" si="32"/>
        <v>0</v>
      </c>
    </row>
    <row r="140" spans="1:16" ht="24.75" customHeight="1">
      <c r="A140" s="127" t="s">
        <v>340</v>
      </c>
      <c r="B140" s="160" t="s">
        <v>391</v>
      </c>
      <c r="C140" s="170">
        <v>149754</v>
      </c>
      <c r="D140" s="1"/>
      <c r="E140" s="1"/>
      <c r="F140" s="1"/>
      <c r="G140" s="1"/>
      <c r="H140" s="190"/>
      <c r="I140" s="190"/>
      <c r="J140" s="190"/>
      <c r="K140" s="62"/>
      <c r="L140" s="62"/>
      <c r="M140" s="62"/>
      <c r="N140" s="62"/>
      <c r="O140" s="176"/>
      <c r="P140" s="36">
        <f t="shared" si="32"/>
        <v>0</v>
      </c>
    </row>
    <row r="141" spans="1:16" ht="15">
      <c r="A141" s="127" t="s">
        <v>392</v>
      </c>
      <c r="B141" s="160" t="s">
        <v>393</v>
      </c>
      <c r="C141" s="170">
        <v>34006</v>
      </c>
      <c r="D141" s="1"/>
      <c r="E141" s="1"/>
      <c r="F141" s="1"/>
      <c r="G141" s="1"/>
      <c r="H141" s="190"/>
      <c r="I141" s="190"/>
      <c r="J141" s="190"/>
      <c r="K141" s="62"/>
      <c r="L141" s="62"/>
      <c r="M141" s="61">
        <v>8228</v>
      </c>
      <c r="N141" s="62"/>
      <c r="O141" s="176"/>
      <c r="P141" s="36">
        <f t="shared" si="32"/>
        <v>8228</v>
      </c>
    </row>
    <row r="142" spans="1:16" ht="30.75" thickBot="1">
      <c r="A142" s="192" t="s">
        <v>394</v>
      </c>
      <c r="B142" s="160" t="s">
        <v>395</v>
      </c>
      <c r="C142" s="193">
        <v>35342</v>
      </c>
      <c r="D142" s="66"/>
      <c r="E142" s="66"/>
      <c r="F142" s="66"/>
      <c r="G142" s="66"/>
      <c r="H142" s="194"/>
      <c r="I142" s="194"/>
      <c r="J142" s="194"/>
      <c r="K142" s="195"/>
      <c r="L142" s="195"/>
      <c r="M142" s="195"/>
      <c r="N142" s="195"/>
      <c r="O142" s="195"/>
      <c r="P142" s="36">
        <f t="shared" si="32"/>
        <v>0</v>
      </c>
    </row>
    <row r="143" spans="1:18" ht="15.75" thickBot="1">
      <c r="A143" s="144" t="s">
        <v>7</v>
      </c>
      <c r="B143" s="29" t="s">
        <v>74</v>
      </c>
      <c r="C143" s="8">
        <f>SUM(C144+C146)</f>
        <v>133540</v>
      </c>
      <c r="D143" s="8">
        <f>SUM(D144+D146)</f>
        <v>174516</v>
      </c>
      <c r="E143" s="8">
        <f aca="true" t="shared" si="33" ref="E143:O143">SUM(E144+E146)</f>
        <v>0</v>
      </c>
      <c r="F143" s="8">
        <f t="shared" si="33"/>
        <v>0</v>
      </c>
      <c r="G143" s="8">
        <f t="shared" si="33"/>
        <v>0</v>
      </c>
      <c r="H143" s="8">
        <f t="shared" si="33"/>
        <v>1930</v>
      </c>
      <c r="I143" s="8">
        <f t="shared" si="33"/>
        <v>0</v>
      </c>
      <c r="J143" s="8">
        <f t="shared" si="33"/>
        <v>0</v>
      </c>
      <c r="K143" s="8">
        <f t="shared" si="33"/>
        <v>0</v>
      </c>
      <c r="L143" s="8">
        <f t="shared" si="33"/>
        <v>3194</v>
      </c>
      <c r="M143" s="8">
        <f t="shared" si="33"/>
        <v>25875</v>
      </c>
      <c r="N143" s="8">
        <f t="shared" si="33"/>
        <v>600</v>
      </c>
      <c r="O143" s="8">
        <f t="shared" si="33"/>
        <v>1240</v>
      </c>
      <c r="P143" s="31">
        <f t="shared" si="32"/>
        <v>207355</v>
      </c>
      <c r="Q143" s="15"/>
      <c r="R143" s="15"/>
    </row>
    <row r="144" spans="1:18" s="15" customFormat="1" ht="15">
      <c r="A144" s="118" t="s">
        <v>75</v>
      </c>
      <c r="B144" s="119" t="s">
        <v>76</v>
      </c>
      <c r="C144" s="121">
        <f>SUM(C145:C145)</f>
        <v>27974</v>
      </c>
      <c r="D144" s="121">
        <f>SUM(D145:D145)</f>
        <v>0</v>
      </c>
      <c r="E144" s="121">
        <f aca="true" t="shared" si="34" ref="E144:O144">SUM(E145:E145)</f>
        <v>0</v>
      </c>
      <c r="F144" s="121">
        <f t="shared" si="34"/>
        <v>0</v>
      </c>
      <c r="G144" s="121">
        <f t="shared" si="34"/>
        <v>0</v>
      </c>
      <c r="H144" s="78">
        <f t="shared" si="34"/>
        <v>1930</v>
      </c>
      <c r="I144" s="121">
        <f t="shared" si="34"/>
        <v>0</v>
      </c>
      <c r="J144" s="121">
        <f t="shared" si="34"/>
        <v>0</v>
      </c>
      <c r="K144" s="121">
        <f t="shared" si="34"/>
        <v>0</v>
      </c>
      <c r="L144" s="121">
        <f t="shared" si="34"/>
        <v>3194</v>
      </c>
      <c r="M144" s="121">
        <f t="shared" si="34"/>
        <v>25875</v>
      </c>
      <c r="N144" s="121">
        <f t="shared" si="34"/>
        <v>600</v>
      </c>
      <c r="O144" s="121">
        <f t="shared" si="34"/>
        <v>1240</v>
      </c>
      <c r="P144" s="36">
        <f t="shared" si="32"/>
        <v>32839</v>
      </c>
      <c r="Q144" s="10"/>
      <c r="R144" s="10"/>
    </row>
    <row r="145" spans="1:16" ht="15">
      <c r="A145" s="127" t="s">
        <v>396</v>
      </c>
      <c r="B145" s="38" t="s">
        <v>184</v>
      </c>
      <c r="C145" s="7">
        <v>27974</v>
      </c>
      <c r="D145" s="1"/>
      <c r="E145" s="39"/>
      <c r="F145" s="39"/>
      <c r="G145" s="1"/>
      <c r="H145" s="46">
        <v>1930</v>
      </c>
      <c r="I145" s="86"/>
      <c r="J145" s="86"/>
      <c r="K145" s="61"/>
      <c r="L145" s="61">
        <v>3194</v>
      </c>
      <c r="M145" s="61">
        <v>25875</v>
      </c>
      <c r="N145" s="61">
        <v>600</v>
      </c>
      <c r="O145" s="62">
        <v>1240</v>
      </c>
      <c r="P145" s="126">
        <f t="shared" si="32"/>
        <v>32839</v>
      </c>
    </row>
    <row r="146" spans="1:16" ht="31.5" customHeight="1" thickBot="1">
      <c r="A146" s="127" t="s">
        <v>351</v>
      </c>
      <c r="B146" s="196" t="s">
        <v>397</v>
      </c>
      <c r="C146" s="197">
        <v>105566</v>
      </c>
      <c r="D146" s="66">
        <v>174516</v>
      </c>
      <c r="E146" s="66"/>
      <c r="F146" s="66"/>
      <c r="G146" s="66"/>
      <c r="H146" s="198"/>
      <c r="I146" s="194"/>
      <c r="J146" s="194"/>
      <c r="K146" s="195"/>
      <c r="L146" s="195"/>
      <c r="M146" s="195"/>
      <c r="N146" s="195"/>
      <c r="O146" s="195"/>
      <c r="P146" s="126">
        <f t="shared" si="32"/>
        <v>174516</v>
      </c>
    </row>
    <row r="147" spans="1:16" ht="15.75" thickBot="1">
      <c r="A147" s="144" t="s">
        <v>12</v>
      </c>
      <c r="B147" s="29" t="s">
        <v>77</v>
      </c>
      <c r="C147" s="8">
        <f>C148+C152+C181+C184</f>
        <v>4861068</v>
      </c>
      <c r="D147" s="8">
        <f>D148+D152+D181+D184</f>
        <v>3389557</v>
      </c>
      <c r="E147" s="8">
        <f aca="true" t="shared" si="35" ref="E147:N147">E148+E152+E182+E183+E184</f>
        <v>311075</v>
      </c>
      <c r="F147" s="8">
        <f t="shared" si="35"/>
        <v>1392326</v>
      </c>
      <c r="G147" s="8">
        <f t="shared" si="35"/>
        <v>0</v>
      </c>
      <c r="H147" s="8">
        <f t="shared" si="35"/>
        <v>210333</v>
      </c>
      <c r="I147" s="8">
        <f t="shared" si="35"/>
        <v>88785</v>
      </c>
      <c r="J147" s="8">
        <f t="shared" si="35"/>
        <v>112535</v>
      </c>
      <c r="K147" s="8">
        <f t="shared" si="35"/>
        <v>227891</v>
      </c>
      <c r="L147" s="8">
        <f t="shared" si="35"/>
        <v>39338</v>
      </c>
      <c r="M147" s="8">
        <f t="shared" si="35"/>
        <v>35585</v>
      </c>
      <c r="N147" s="8">
        <f t="shared" si="35"/>
        <v>86039</v>
      </c>
      <c r="O147" s="8">
        <f>O148+O152+O182+O183+O184</f>
        <v>64836</v>
      </c>
      <c r="P147" s="31">
        <f t="shared" si="32"/>
        <v>5958300</v>
      </c>
    </row>
    <row r="148" spans="1:16" ht="15">
      <c r="A148" s="118" t="s">
        <v>78</v>
      </c>
      <c r="B148" s="119" t="s">
        <v>79</v>
      </c>
      <c r="C148" s="121">
        <f>SUM(C149:C151)</f>
        <v>500341</v>
      </c>
      <c r="D148" s="121">
        <f>SUM(D149:D151)</f>
        <v>276945</v>
      </c>
      <c r="E148" s="121">
        <f>SUM(E149:E151)</f>
        <v>311075</v>
      </c>
      <c r="F148" s="121">
        <f aca="true" t="shared" si="36" ref="F148:N148">SUM(F149:F151)</f>
        <v>0</v>
      </c>
      <c r="G148" s="121">
        <f t="shared" si="36"/>
        <v>0</v>
      </c>
      <c r="H148" s="121">
        <f t="shared" si="36"/>
        <v>5365</v>
      </c>
      <c r="I148" s="121">
        <f t="shared" si="36"/>
        <v>0</v>
      </c>
      <c r="J148" s="121">
        <f t="shared" si="36"/>
        <v>0</v>
      </c>
      <c r="K148" s="121">
        <f>SUM(K149:K151)</f>
        <v>7372</v>
      </c>
      <c r="L148" s="121">
        <f t="shared" si="36"/>
        <v>0</v>
      </c>
      <c r="M148" s="121">
        <f t="shared" si="36"/>
        <v>0</v>
      </c>
      <c r="N148" s="121">
        <f t="shared" si="36"/>
        <v>9896</v>
      </c>
      <c r="O148" s="121">
        <f>SUM(O149:O151)</f>
        <v>0</v>
      </c>
      <c r="P148" s="174">
        <f t="shared" si="32"/>
        <v>610653</v>
      </c>
    </row>
    <row r="149" spans="1:16" ht="15">
      <c r="A149" s="127" t="s">
        <v>227</v>
      </c>
      <c r="B149" s="38" t="s">
        <v>80</v>
      </c>
      <c r="C149" s="7">
        <v>63746</v>
      </c>
      <c r="D149" s="1">
        <v>51685</v>
      </c>
      <c r="E149" s="39"/>
      <c r="F149" s="39"/>
      <c r="G149" s="1"/>
      <c r="H149" s="46">
        <v>5365</v>
      </c>
      <c r="I149" s="86"/>
      <c r="J149" s="86"/>
      <c r="K149" s="61">
        <v>7372</v>
      </c>
      <c r="L149" s="61"/>
      <c r="M149" s="61"/>
      <c r="N149" s="61">
        <v>9896</v>
      </c>
      <c r="O149" s="62"/>
      <c r="P149" s="126">
        <f t="shared" si="32"/>
        <v>74318</v>
      </c>
    </row>
    <row r="150" spans="1:16" ht="30">
      <c r="A150" s="127" t="s">
        <v>228</v>
      </c>
      <c r="B150" s="38" t="s">
        <v>81</v>
      </c>
      <c r="C150" s="7">
        <v>198324</v>
      </c>
      <c r="D150" s="1">
        <v>225260</v>
      </c>
      <c r="E150" s="39"/>
      <c r="F150" s="39"/>
      <c r="G150" s="1"/>
      <c r="H150" s="46"/>
      <c r="I150" s="86"/>
      <c r="J150" s="86"/>
      <c r="K150" s="61"/>
      <c r="L150" s="61"/>
      <c r="M150" s="61"/>
      <c r="N150" s="61"/>
      <c r="O150" s="62"/>
      <c r="P150" s="126">
        <f t="shared" si="32"/>
        <v>225260</v>
      </c>
    </row>
    <row r="151" spans="1:16" ht="15">
      <c r="A151" s="127" t="s">
        <v>313</v>
      </c>
      <c r="B151" s="38" t="s">
        <v>314</v>
      </c>
      <c r="C151" s="7">
        <v>238271</v>
      </c>
      <c r="D151" s="1"/>
      <c r="E151" s="1">
        <v>311075</v>
      </c>
      <c r="F151" s="1"/>
      <c r="G151" s="1"/>
      <c r="H151" s="86"/>
      <c r="I151" s="190"/>
      <c r="J151" s="190"/>
      <c r="K151" s="62"/>
      <c r="L151" s="62"/>
      <c r="M151" s="62"/>
      <c r="N151" s="62"/>
      <c r="O151" s="62"/>
      <c r="P151" s="126">
        <f t="shared" si="32"/>
        <v>311075</v>
      </c>
    </row>
    <row r="152" spans="1:16" ht="15">
      <c r="A152" s="125" t="s">
        <v>82</v>
      </c>
      <c r="B152" s="128" t="s">
        <v>11</v>
      </c>
      <c r="C152" s="6">
        <f>SUM(C153+C154+C159+C165)</f>
        <v>4198756</v>
      </c>
      <c r="D152" s="6">
        <f>SUM(D153+D154+D159+D165)</f>
        <v>2966128</v>
      </c>
      <c r="E152" s="6">
        <f aca="true" t="shared" si="37" ref="E152:N152">SUM(E153+E154+E159+E165)</f>
        <v>0</v>
      </c>
      <c r="F152" s="6">
        <f>SUM(F153+F154+F159+F165)</f>
        <v>1392326</v>
      </c>
      <c r="G152" s="6">
        <f t="shared" si="37"/>
        <v>0</v>
      </c>
      <c r="H152" s="6">
        <f>SUM(H153+H154+H159+H165)</f>
        <v>204968</v>
      </c>
      <c r="I152" s="6">
        <f t="shared" si="37"/>
        <v>88785</v>
      </c>
      <c r="J152" s="6">
        <f t="shared" si="37"/>
        <v>109405</v>
      </c>
      <c r="K152" s="6">
        <f>SUM(K153+K154+K159+K165)</f>
        <v>216730</v>
      </c>
      <c r="L152" s="6">
        <f t="shared" si="37"/>
        <v>39338</v>
      </c>
      <c r="M152" s="6">
        <f t="shared" si="37"/>
        <v>35585</v>
      </c>
      <c r="N152" s="6">
        <f t="shared" si="37"/>
        <v>76143</v>
      </c>
      <c r="O152" s="6">
        <f>SUM(O153+O154+O159+O165)</f>
        <v>64836</v>
      </c>
      <c r="P152" s="126">
        <f t="shared" si="32"/>
        <v>5194244</v>
      </c>
    </row>
    <row r="153" spans="1:16" ht="15">
      <c r="A153" s="127" t="s">
        <v>398</v>
      </c>
      <c r="B153" s="38" t="s">
        <v>185</v>
      </c>
      <c r="C153" s="7">
        <v>464334</v>
      </c>
      <c r="D153" s="1">
        <v>359158</v>
      </c>
      <c r="E153" s="39"/>
      <c r="F153" s="39"/>
      <c r="G153" s="1"/>
      <c r="H153" s="9">
        <v>30074</v>
      </c>
      <c r="I153" s="46">
        <v>30225</v>
      </c>
      <c r="J153" s="46">
        <v>13449</v>
      </c>
      <c r="K153" s="61">
        <v>28780</v>
      </c>
      <c r="L153" s="61">
        <v>14927</v>
      </c>
      <c r="M153" s="61">
        <v>13071</v>
      </c>
      <c r="N153" s="61">
        <v>15237</v>
      </c>
      <c r="O153" s="199">
        <v>16130</v>
      </c>
      <c r="P153" s="126">
        <f t="shared" si="32"/>
        <v>521051</v>
      </c>
    </row>
    <row r="154" spans="1:16" ht="15">
      <c r="A154" s="127" t="s">
        <v>229</v>
      </c>
      <c r="B154" s="38" t="s">
        <v>121</v>
      </c>
      <c r="C154" s="1">
        <f>SUM(C155:C158)</f>
        <v>746658</v>
      </c>
      <c r="D154" s="1">
        <f>SUM(D155:D157)</f>
        <v>589299</v>
      </c>
      <c r="E154" s="1">
        <f aca="true" t="shared" si="38" ref="E154:M154">SUM(E155:E157)</f>
        <v>0</v>
      </c>
      <c r="F154" s="1">
        <f>SUM(F155:F157)</f>
        <v>0</v>
      </c>
      <c r="G154" s="1">
        <f t="shared" si="38"/>
        <v>0</v>
      </c>
      <c r="H154" s="1">
        <f t="shared" si="38"/>
        <v>0</v>
      </c>
      <c r="I154" s="1">
        <f t="shared" si="38"/>
        <v>0</v>
      </c>
      <c r="J154" s="1">
        <f t="shared" si="38"/>
        <v>0</v>
      </c>
      <c r="K154" s="1">
        <f>SUM(K155:K157)</f>
        <v>0</v>
      </c>
      <c r="L154" s="1">
        <f t="shared" si="38"/>
        <v>0</v>
      </c>
      <c r="M154" s="1">
        <f t="shared" si="38"/>
        <v>0</v>
      </c>
      <c r="N154" s="1">
        <f>SUM(N155:N158)</f>
        <v>5208</v>
      </c>
      <c r="O154" s="1">
        <f>SUM(O155:O157)</f>
        <v>0</v>
      </c>
      <c r="P154" s="126">
        <f t="shared" si="32"/>
        <v>594507</v>
      </c>
    </row>
    <row r="155" spans="1:16" ht="15">
      <c r="A155" s="127" t="s">
        <v>229</v>
      </c>
      <c r="B155" s="38" t="s">
        <v>125</v>
      </c>
      <c r="C155" s="7"/>
      <c r="D155" s="200"/>
      <c r="E155" s="39"/>
      <c r="F155" s="39"/>
      <c r="G155" s="1"/>
      <c r="H155" s="86"/>
      <c r="I155" s="86"/>
      <c r="J155" s="46"/>
      <c r="K155" s="61"/>
      <c r="L155" s="61"/>
      <c r="M155" s="61"/>
      <c r="N155" s="61"/>
      <c r="O155" s="199"/>
      <c r="P155" s="126">
        <f t="shared" si="32"/>
        <v>0</v>
      </c>
    </row>
    <row r="156" spans="1:16" ht="15">
      <c r="A156" s="127" t="s">
        <v>230</v>
      </c>
      <c r="B156" s="38" t="s">
        <v>282</v>
      </c>
      <c r="C156" s="170">
        <v>266726</v>
      </c>
      <c r="D156" s="1">
        <v>264278</v>
      </c>
      <c r="E156" s="39"/>
      <c r="F156" s="39"/>
      <c r="G156" s="1"/>
      <c r="H156" s="86"/>
      <c r="I156" s="86"/>
      <c r="J156" s="46"/>
      <c r="K156" s="61"/>
      <c r="L156" s="61"/>
      <c r="M156" s="61"/>
      <c r="N156" s="61"/>
      <c r="O156" s="199"/>
      <c r="P156" s="126">
        <f t="shared" si="32"/>
        <v>264278</v>
      </c>
    </row>
    <row r="157" spans="1:16" ht="30">
      <c r="A157" s="127" t="s">
        <v>315</v>
      </c>
      <c r="B157" s="160" t="s">
        <v>501</v>
      </c>
      <c r="C157" s="170">
        <v>478069</v>
      </c>
      <c r="D157" s="1">
        <v>325021</v>
      </c>
      <c r="E157" s="39"/>
      <c r="F157" s="39"/>
      <c r="G157" s="1"/>
      <c r="H157" s="86"/>
      <c r="I157" s="86"/>
      <c r="J157" s="46"/>
      <c r="K157" s="61"/>
      <c r="L157" s="61"/>
      <c r="M157" s="61"/>
      <c r="N157" s="61"/>
      <c r="O157" s="199"/>
      <c r="P157" s="126">
        <f t="shared" si="32"/>
        <v>325021</v>
      </c>
    </row>
    <row r="158" spans="1:16" ht="15">
      <c r="A158" s="127" t="s">
        <v>463</v>
      </c>
      <c r="B158" s="160" t="s">
        <v>464</v>
      </c>
      <c r="C158" s="170">
        <v>1863</v>
      </c>
      <c r="D158" s="1"/>
      <c r="E158" s="1"/>
      <c r="F158" s="1"/>
      <c r="G158" s="1"/>
      <c r="H158" s="190"/>
      <c r="I158" s="190"/>
      <c r="J158" s="201"/>
      <c r="K158" s="62"/>
      <c r="L158" s="62"/>
      <c r="M158" s="62"/>
      <c r="N158" s="61">
        <v>5208</v>
      </c>
      <c r="O158" s="199"/>
      <c r="P158" s="126">
        <f aca="true" t="shared" si="39" ref="P158:P191">SUM(D158:O158)</f>
        <v>5208</v>
      </c>
    </row>
    <row r="159" spans="1:16" ht="15">
      <c r="A159" s="127" t="s">
        <v>271</v>
      </c>
      <c r="B159" s="38" t="s">
        <v>399</v>
      </c>
      <c r="C159" s="1">
        <f>SUM(C160:C163)</f>
        <v>2271294</v>
      </c>
      <c r="D159" s="1">
        <f>SUM(D160:D164)</f>
        <v>603290</v>
      </c>
      <c r="E159" s="1">
        <f aca="true" t="shared" si="40" ref="E159:O159">SUM(E160:E164)</f>
        <v>0</v>
      </c>
      <c r="F159" s="1">
        <f t="shared" si="40"/>
        <v>1392326</v>
      </c>
      <c r="G159" s="1">
        <f t="shared" si="40"/>
        <v>0</v>
      </c>
      <c r="H159" s="1">
        <f t="shared" si="40"/>
        <v>174894</v>
      </c>
      <c r="I159" s="1">
        <f t="shared" si="40"/>
        <v>58560</v>
      </c>
      <c r="J159" s="1">
        <f t="shared" si="40"/>
        <v>89956</v>
      </c>
      <c r="K159" s="1">
        <f t="shared" si="40"/>
        <v>187950</v>
      </c>
      <c r="L159" s="1">
        <f t="shared" si="40"/>
        <v>24411</v>
      </c>
      <c r="M159" s="1">
        <f t="shared" si="40"/>
        <v>22514</v>
      </c>
      <c r="N159" s="1">
        <f t="shared" si="40"/>
        <v>55698</v>
      </c>
      <c r="O159" s="1">
        <f t="shared" si="40"/>
        <v>41206</v>
      </c>
      <c r="P159" s="126">
        <f t="shared" si="39"/>
        <v>2650805</v>
      </c>
    </row>
    <row r="160" spans="1:16" ht="15">
      <c r="A160" s="127" t="s">
        <v>352</v>
      </c>
      <c r="B160" s="38" t="s">
        <v>400</v>
      </c>
      <c r="C160" s="7">
        <v>855185</v>
      </c>
      <c r="D160" s="1"/>
      <c r="E160" s="39"/>
      <c r="F160" s="39">
        <v>275437</v>
      </c>
      <c r="G160" s="1"/>
      <c r="H160" s="9">
        <v>174894</v>
      </c>
      <c r="I160" s="46">
        <v>58560</v>
      </c>
      <c r="J160" s="46">
        <v>76212</v>
      </c>
      <c r="K160" s="61">
        <v>187950</v>
      </c>
      <c r="L160" s="61">
        <v>24411</v>
      </c>
      <c r="M160" s="61">
        <v>22514</v>
      </c>
      <c r="N160" s="61">
        <v>55698</v>
      </c>
      <c r="O160" s="202">
        <f>38206+3000</f>
        <v>41206</v>
      </c>
      <c r="P160" s="126">
        <f t="shared" si="39"/>
        <v>916882</v>
      </c>
    </row>
    <row r="161" spans="1:16" ht="15">
      <c r="A161" s="127" t="s">
        <v>347</v>
      </c>
      <c r="B161" s="38" t="s">
        <v>348</v>
      </c>
      <c r="C161" s="7">
        <v>365324</v>
      </c>
      <c r="D161" s="1">
        <v>303290</v>
      </c>
      <c r="E161" s="39"/>
      <c r="F161" s="39"/>
      <c r="G161" s="1"/>
      <c r="H161" s="86"/>
      <c r="I161" s="86"/>
      <c r="J161" s="86"/>
      <c r="K161" s="61"/>
      <c r="L161" s="61"/>
      <c r="M161" s="61"/>
      <c r="N161" s="61"/>
      <c r="O161" s="62"/>
      <c r="P161" s="126">
        <f t="shared" si="39"/>
        <v>303290</v>
      </c>
    </row>
    <row r="162" spans="1:16" ht="15">
      <c r="A162" s="127" t="s">
        <v>461</v>
      </c>
      <c r="B162" s="38" t="s">
        <v>462</v>
      </c>
      <c r="C162" s="7"/>
      <c r="D162" s="1"/>
      <c r="E162" s="39"/>
      <c r="F162" s="39"/>
      <c r="G162" s="1"/>
      <c r="H162" s="86"/>
      <c r="I162" s="86"/>
      <c r="J162" s="46">
        <v>13744</v>
      </c>
      <c r="K162" s="61"/>
      <c r="L162" s="61"/>
      <c r="M162" s="61"/>
      <c r="N162" s="61"/>
      <c r="O162" s="62"/>
      <c r="P162" s="126">
        <f t="shared" si="39"/>
        <v>13744</v>
      </c>
    </row>
    <row r="163" spans="1:18" ht="15">
      <c r="A163" s="127" t="s">
        <v>401</v>
      </c>
      <c r="B163" s="38" t="s">
        <v>122</v>
      </c>
      <c r="C163" s="7">
        <v>1050785</v>
      </c>
      <c r="D163" s="1"/>
      <c r="E163" s="39"/>
      <c r="F163" s="39">
        <f>1072079+32390+12420</f>
        <v>1116889</v>
      </c>
      <c r="G163" s="1"/>
      <c r="H163" s="86"/>
      <c r="I163" s="86"/>
      <c r="J163" s="86"/>
      <c r="K163" s="61"/>
      <c r="L163" s="61"/>
      <c r="M163" s="61"/>
      <c r="N163" s="61"/>
      <c r="O163" s="62"/>
      <c r="P163" s="126">
        <f t="shared" si="39"/>
        <v>1116889</v>
      </c>
      <c r="Q163" s="15"/>
      <c r="R163" s="15"/>
    </row>
    <row r="164" spans="1:18" ht="15">
      <c r="A164" s="127" t="s">
        <v>510</v>
      </c>
      <c r="B164" s="38" t="s">
        <v>511</v>
      </c>
      <c r="C164" s="7"/>
      <c r="D164" s="1">
        <v>300000</v>
      </c>
      <c r="E164" s="39"/>
      <c r="F164" s="39"/>
      <c r="G164" s="1"/>
      <c r="H164" s="86"/>
      <c r="I164" s="86"/>
      <c r="J164" s="86"/>
      <c r="K164" s="61"/>
      <c r="L164" s="61"/>
      <c r="M164" s="61"/>
      <c r="N164" s="61"/>
      <c r="O164" s="62"/>
      <c r="P164" s="126">
        <f t="shared" si="39"/>
        <v>300000</v>
      </c>
      <c r="Q164" s="15"/>
      <c r="R164" s="15"/>
    </row>
    <row r="165" spans="1:18" s="15" customFormat="1" ht="15">
      <c r="A165" s="125" t="s">
        <v>83</v>
      </c>
      <c r="B165" s="81" t="s">
        <v>231</v>
      </c>
      <c r="C165" s="82">
        <f>SUM(C166:C180)</f>
        <v>716470</v>
      </c>
      <c r="D165" s="82">
        <f>SUM(D166:D180)</f>
        <v>1414381</v>
      </c>
      <c r="E165" s="82">
        <f aca="true" t="shared" si="41" ref="E165:N165">SUM(E166:E180)</f>
        <v>0</v>
      </c>
      <c r="F165" s="82">
        <f t="shared" si="41"/>
        <v>0</v>
      </c>
      <c r="G165" s="82">
        <f t="shared" si="41"/>
        <v>0</v>
      </c>
      <c r="H165" s="82">
        <f t="shared" si="41"/>
        <v>0</v>
      </c>
      <c r="I165" s="82">
        <f t="shared" si="41"/>
        <v>0</v>
      </c>
      <c r="J165" s="82">
        <f t="shared" si="41"/>
        <v>6000</v>
      </c>
      <c r="K165" s="82">
        <f t="shared" si="41"/>
        <v>0</v>
      </c>
      <c r="L165" s="82">
        <f t="shared" si="41"/>
        <v>0</v>
      </c>
      <c r="M165" s="82">
        <f t="shared" si="41"/>
        <v>0</v>
      </c>
      <c r="N165" s="82">
        <f t="shared" si="41"/>
        <v>0</v>
      </c>
      <c r="O165" s="82">
        <f>SUM(O166:O180)</f>
        <v>7500</v>
      </c>
      <c r="P165" s="126">
        <f t="shared" si="39"/>
        <v>1427881</v>
      </c>
      <c r="Q165" s="10"/>
      <c r="R165" s="10"/>
    </row>
    <row r="166" spans="1:16" ht="15">
      <c r="A166" s="127" t="s">
        <v>232</v>
      </c>
      <c r="B166" s="160" t="s">
        <v>353</v>
      </c>
      <c r="C166" s="171">
        <v>19832</v>
      </c>
      <c r="D166" s="1">
        <v>37023</v>
      </c>
      <c r="E166" s="39"/>
      <c r="F166" s="39"/>
      <c r="G166" s="1"/>
      <c r="H166" s="46"/>
      <c r="I166" s="86"/>
      <c r="J166" s="46"/>
      <c r="K166" s="61"/>
      <c r="L166" s="61"/>
      <c r="M166" s="61"/>
      <c r="N166" s="61"/>
      <c r="O166" s="62">
        <v>7500</v>
      </c>
      <c r="P166" s="126">
        <f t="shared" si="39"/>
        <v>44523</v>
      </c>
    </row>
    <row r="167" spans="1:16" ht="15">
      <c r="A167" s="127" t="s">
        <v>233</v>
      </c>
      <c r="B167" s="160" t="s">
        <v>123</v>
      </c>
      <c r="C167" s="171">
        <v>35632</v>
      </c>
      <c r="D167" s="1">
        <v>49000</v>
      </c>
      <c r="E167" s="39"/>
      <c r="F167" s="39"/>
      <c r="G167" s="1"/>
      <c r="H167" s="86"/>
      <c r="I167" s="86"/>
      <c r="J167" s="86"/>
      <c r="K167" s="61"/>
      <c r="L167" s="61"/>
      <c r="M167" s="61"/>
      <c r="N167" s="61"/>
      <c r="O167" s="62"/>
      <c r="P167" s="126">
        <f t="shared" si="39"/>
        <v>49000</v>
      </c>
    </row>
    <row r="168" spans="1:16" ht="15">
      <c r="A168" s="127" t="s">
        <v>234</v>
      </c>
      <c r="B168" s="187" t="s">
        <v>124</v>
      </c>
      <c r="C168" s="203">
        <v>500</v>
      </c>
      <c r="D168" s="1">
        <v>500</v>
      </c>
      <c r="E168" s="39"/>
      <c r="F168" s="39"/>
      <c r="G168" s="1"/>
      <c r="H168" s="86"/>
      <c r="I168" s="86"/>
      <c r="J168" s="86"/>
      <c r="K168" s="61"/>
      <c r="L168" s="61"/>
      <c r="M168" s="61"/>
      <c r="N168" s="61"/>
      <c r="O168" s="62"/>
      <c r="P168" s="126">
        <f t="shared" si="39"/>
        <v>500</v>
      </c>
    </row>
    <row r="169" spans="1:16" ht="15">
      <c r="A169" s="127" t="s">
        <v>465</v>
      </c>
      <c r="B169" s="187" t="s">
        <v>466</v>
      </c>
      <c r="C169" s="203"/>
      <c r="D169" s="1">
        <v>177874</v>
      </c>
      <c r="E169" s="39"/>
      <c r="F169" s="39"/>
      <c r="G169" s="1"/>
      <c r="H169" s="86"/>
      <c r="I169" s="86"/>
      <c r="J169" s="86"/>
      <c r="K169" s="61"/>
      <c r="L169" s="61"/>
      <c r="M169" s="61"/>
      <c r="N169" s="61"/>
      <c r="O169" s="62"/>
      <c r="P169" s="126">
        <f t="shared" si="39"/>
        <v>177874</v>
      </c>
    </row>
    <row r="170" spans="1:16" ht="46.5" customHeight="1">
      <c r="A170" s="127" t="s">
        <v>344</v>
      </c>
      <c r="B170" s="187" t="s">
        <v>349</v>
      </c>
      <c r="C170" s="203">
        <v>473521</v>
      </c>
      <c r="D170" s="1">
        <v>628489</v>
      </c>
      <c r="E170" s="39"/>
      <c r="F170" s="39"/>
      <c r="G170" s="1"/>
      <c r="H170" s="86"/>
      <c r="I170" s="86"/>
      <c r="J170" s="86"/>
      <c r="K170" s="61"/>
      <c r="L170" s="61"/>
      <c r="M170" s="61"/>
      <c r="N170" s="61"/>
      <c r="O170" s="62"/>
      <c r="P170" s="126">
        <f t="shared" si="39"/>
        <v>628489</v>
      </c>
    </row>
    <row r="171" spans="1:16" ht="30">
      <c r="A171" s="127" t="s">
        <v>345</v>
      </c>
      <c r="B171" s="187" t="s">
        <v>402</v>
      </c>
      <c r="C171" s="203">
        <v>54510</v>
      </c>
      <c r="D171" s="1"/>
      <c r="E171" s="39"/>
      <c r="F171" s="39"/>
      <c r="G171" s="1"/>
      <c r="H171" s="86"/>
      <c r="I171" s="86"/>
      <c r="J171" s="86"/>
      <c r="K171" s="61"/>
      <c r="L171" s="61"/>
      <c r="M171" s="61"/>
      <c r="N171" s="61"/>
      <c r="O171" s="62"/>
      <c r="P171" s="126">
        <f t="shared" si="39"/>
        <v>0</v>
      </c>
    </row>
    <row r="172" spans="1:16" ht="30">
      <c r="A172" s="127" t="s">
        <v>403</v>
      </c>
      <c r="B172" s="160" t="s">
        <v>404</v>
      </c>
      <c r="C172" s="171">
        <v>20934</v>
      </c>
      <c r="D172" s="1">
        <v>20000</v>
      </c>
      <c r="E172" s="39"/>
      <c r="F172" s="39"/>
      <c r="G172" s="1"/>
      <c r="H172" s="46"/>
      <c r="I172" s="46"/>
      <c r="J172" s="46"/>
      <c r="K172" s="61"/>
      <c r="L172" s="61"/>
      <c r="M172" s="61"/>
      <c r="N172" s="61"/>
      <c r="O172" s="62"/>
      <c r="P172" s="126">
        <f t="shared" si="39"/>
        <v>20000</v>
      </c>
    </row>
    <row r="173" spans="1:16" ht="30">
      <c r="A173" s="127" t="s">
        <v>405</v>
      </c>
      <c r="B173" s="160" t="s">
        <v>406</v>
      </c>
      <c r="C173" s="171"/>
      <c r="D173" s="1">
        <v>292700</v>
      </c>
      <c r="E173" s="39"/>
      <c r="F173" s="39"/>
      <c r="G173" s="1"/>
      <c r="H173" s="86"/>
      <c r="I173" s="86"/>
      <c r="J173" s="86"/>
      <c r="K173" s="61"/>
      <c r="L173" s="61"/>
      <c r="M173" s="61"/>
      <c r="N173" s="61"/>
      <c r="O173" s="62"/>
      <c r="P173" s="126">
        <f t="shared" si="39"/>
        <v>292700</v>
      </c>
    </row>
    <row r="174" spans="1:16" ht="15">
      <c r="A174" s="127" t="s">
        <v>283</v>
      </c>
      <c r="B174" s="204" t="s">
        <v>291</v>
      </c>
      <c r="C174" s="205">
        <v>72731</v>
      </c>
      <c r="D174" s="1"/>
      <c r="E174" s="39"/>
      <c r="F174" s="39"/>
      <c r="G174" s="1"/>
      <c r="H174" s="86"/>
      <c r="I174" s="86"/>
      <c r="J174" s="46"/>
      <c r="K174" s="61"/>
      <c r="L174" s="61"/>
      <c r="M174" s="61"/>
      <c r="N174" s="61"/>
      <c r="O174" s="62"/>
      <c r="P174" s="126">
        <f t="shared" si="39"/>
        <v>0</v>
      </c>
    </row>
    <row r="175" spans="1:16" ht="45">
      <c r="A175" s="127" t="s">
        <v>316</v>
      </c>
      <c r="B175" s="206" t="s">
        <v>407</v>
      </c>
      <c r="C175" s="207">
        <v>19798</v>
      </c>
      <c r="D175" s="1">
        <v>20000</v>
      </c>
      <c r="E175" s="39"/>
      <c r="F175" s="39"/>
      <c r="G175" s="1"/>
      <c r="H175" s="86"/>
      <c r="I175" s="86"/>
      <c r="J175" s="86"/>
      <c r="K175" s="61"/>
      <c r="L175" s="61"/>
      <c r="M175" s="61"/>
      <c r="N175" s="61"/>
      <c r="O175" s="62"/>
      <c r="P175" s="126">
        <f t="shared" si="39"/>
        <v>20000</v>
      </c>
    </row>
    <row r="176" spans="1:16" ht="30">
      <c r="A176" s="127" t="s">
        <v>408</v>
      </c>
      <c r="B176" s="145" t="s">
        <v>409</v>
      </c>
      <c r="C176" s="146">
        <v>9014</v>
      </c>
      <c r="D176" s="1">
        <v>48580</v>
      </c>
      <c r="E176" s="1"/>
      <c r="F176" s="1"/>
      <c r="G176" s="1"/>
      <c r="H176" s="190"/>
      <c r="I176" s="190"/>
      <c r="J176" s="190"/>
      <c r="K176" s="62"/>
      <c r="L176" s="62"/>
      <c r="M176" s="62"/>
      <c r="N176" s="62"/>
      <c r="O176" s="62"/>
      <c r="P176" s="126">
        <f t="shared" si="39"/>
        <v>48580</v>
      </c>
    </row>
    <row r="177" spans="1:16" ht="30">
      <c r="A177" s="127" t="s">
        <v>477</v>
      </c>
      <c r="B177" s="145" t="s">
        <v>502</v>
      </c>
      <c r="C177" s="146"/>
      <c r="D177" s="1">
        <v>92876</v>
      </c>
      <c r="E177" s="1"/>
      <c r="F177" s="1"/>
      <c r="G177" s="1"/>
      <c r="H177" s="190"/>
      <c r="I177" s="190"/>
      <c r="J177" s="190"/>
      <c r="K177" s="62"/>
      <c r="L177" s="62"/>
      <c r="M177" s="62"/>
      <c r="N177" s="62"/>
      <c r="O177" s="62"/>
      <c r="P177" s="126">
        <f t="shared" si="39"/>
        <v>92876</v>
      </c>
    </row>
    <row r="178" spans="1:16" ht="60.75" customHeight="1">
      <c r="A178" s="127" t="s">
        <v>475</v>
      </c>
      <c r="B178" s="145" t="s">
        <v>476</v>
      </c>
      <c r="C178" s="146"/>
      <c r="D178" s="1">
        <v>47339</v>
      </c>
      <c r="E178" s="1"/>
      <c r="F178" s="1"/>
      <c r="G178" s="1"/>
      <c r="H178" s="190"/>
      <c r="I178" s="190"/>
      <c r="J178" s="190"/>
      <c r="K178" s="62"/>
      <c r="L178" s="62"/>
      <c r="M178" s="62"/>
      <c r="N178" s="62"/>
      <c r="O178" s="62"/>
      <c r="P178" s="126">
        <f t="shared" si="39"/>
        <v>47339</v>
      </c>
    </row>
    <row r="179" spans="1:16" ht="15">
      <c r="A179" s="127" t="s">
        <v>508</v>
      </c>
      <c r="B179" s="160" t="s">
        <v>509</v>
      </c>
      <c r="C179" s="146"/>
      <c r="D179" s="1"/>
      <c r="E179" s="1"/>
      <c r="F179" s="1"/>
      <c r="G179" s="1"/>
      <c r="H179" s="190"/>
      <c r="I179" s="190"/>
      <c r="J179" s="201">
        <v>6000</v>
      </c>
      <c r="K179" s="62"/>
      <c r="L179" s="62"/>
      <c r="M179" s="62"/>
      <c r="N179" s="62"/>
      <c r="O179" s="62"/>
      <c r="P179" s="126">
        <f t="shared" si="39"/>
        <v>6000</v>
      </c>
    </row>
    <row r="180" spans="1:16" ht="15">
      <c r="A180" s="127" t="s">
        <v>410</v>
      </c>
      <c r="B180" s="145" t="s">
        <v>411</v>
      </c>
      <c r="C180" s="146">
        <v>9998</v>
      </c>
      <c r="D180" s="1"/>
      <c r="E180" s="1"/>
      <c r="F180" s="1"/>
      <c r="G180" s="1"/>
      <c r="H180" s="190"/>
      <c r="I180" s="190"/>
      <c r="J180" s="190"/>
      <c r="K180" s="62"/>
      <c r="L180" s="62"/>
      <c r="M180" s="62"/>
      <c r="N180" s="62"/>
      <c r="O180" s="62"/>
      <c r="P180" s="126">
        <f t="shared" si="39"/>
        <v>0</v>
      </c>
    </row>
    <row r="181" spans="1:16" ht="15">
      <c r="A181" s="125" t="s">
        <v>412</v>
      </c>
      <c r="B181" s="208" t="s">
        <v>413</v>
      </c>
      <c r="C181" s="6">
        <f>C182+C183</f>
        <v>137100</v>
      </c>
      <c r="D181" s="6">
        <f>D182+D183</f>
        <v>131484</v>
      </c>
      <c r="E181" s="6">
        <f aca="true" t="shared" si="42" ref="E181:N181">E182+E183</f>
        <v>0</v>
      </c>
      <c r="F181" s="6">
        <f t="shared" si="42"/>
        <v>0</v>
      </c>
      <c r="G181" s="6">
        <f t="shared" si="42"/>
        <v>0</v>
      </c>
      <c r="H181" s="6">
        <f t="shared" si="42"/>
        <v>0</v>
      </c>
      <c r="I181" s="6">
        <f t="shared" si="42"/>
        <v>0</v>
      </c>
      <c r="J181" s="6">
        <f t="shared" si="42"/>
        <v>3130</v>
      </c>
      <c r="K181" s="6">
        <f t="shared" si="42"/>
        <v>3789</v>
      </c>
      <c r="L181" s="6">
        <f t="shared" si="42"/>
        <v>0</v>
      </c>
      <c r="M181" s="6">
        <f t="shared" si="42"/>
        <v>0</v>
      </c>
      <c r="N181" s="6">
        <f t="shared" si="42"/>
        <v>0</v>
      </c>
      <c r="O181" s="6">
        <f>O182+O183</f>
        <v>0</v>
      </c>
      <c r="P181" s="126">
        <f t="shared" si="39"/>
        <v>138403</v>
      </c>
    </row>
    <row r="182" spans="1:16" ht="15">
      <c r="A182" s="125" t="s">
        <v>478</v>
      </c>
      <c r="B182" s="81" t="s">
        <v>84</v>
      </c>
      <c r="C182" s="209">
        <v>41140</v>
      </c>
      <c r="D182" s="6">
        <f>38542+1458</f>
        <v>40000</v>
      </c>
      <c r="E182" s="82"/>
      <c r="F182" s="82"/>
      <c r="G182" s="6"/>
      <c r="H182" s="86"/>
      <c r="I182" s="86"/>
      <c r="J182" s="86"/>
      <c r="K182" s="61"/>
      <c r="L182" s="61"/>
      <c r="M182" s="61"/>
      <c r="N182" s="61"/>
      <c r="O182" s="62"/>
      <c r="P182" s="126">
        <f t="shared" si="39"/>
        <v>40000</v>
      </c>
    </row>
    <row r="183" spans="1:16" ht="21" customHeight="1">
      <c r="A183" s="125" t="s">
        <v>479</v>
      </c>
      <c r="B183" s="81" t="s">
        <v>111</v>
      </c>
      <c r="C183" s="209">
        <v>95960</v>
      </c>
      <c r="D183" s="6">
        <v>91484</v>
      </c>
      <c r="E183" s="82"/>
      <c r="F183" s="82"/>
      <c r="G183" s="6"/>
      <c r="H183" s="86"/>
      <c r="I183" s="86"/>
      <c r="J183" s="46">
        <v>3130</v>
      </c>
      <c r="K183" s="61">
        <v>3789</v>
      </c>
      <c r="L183" s="61"/>
      <c r="M183" s="61"/>
      <c r="N183" s="61"/>
      <c r="O183" s="62"/>
      <c r="P183" s="126">
        <f t="shared" si="39"/>
        <v>98403</v>
      </c>
    </row>
    <row r="184" spans="1:16" ht="30" thickBot="1">
      <c r="A184" s="210" t="s">
        <v>480</v>
      </c>
      <c r="B184" s="64" t="s">
        <v>334</v>
      </c>
      <c r="C184" s="64">
        <v>24871</v>
      </c>
      <c r="D184" s="153">
        <v>15000</v>
      </c>
      <c r="E184" s="211"/>
      <c r="F184" s="211"/>
      <c r="G184" s="153"/>
      <c r="H184" s="212"/>
      <c r="I184" s="212"/>
      <c r="J184" s="89"/>
      <c r="K184" s="67"/>
      <c r="L184" s="67"/>
      <c r="M184" s="67"/>
      <c r="N184" s="67"/>
      <c r="O184" s="195"/>
      <c r="P184" s="126">
        <f t="shared" si="39"/>
        <v>15000</v>
      </c>
    </row>
    <row r="185" spans="1:16" ht="15.75" thickBot="1">
      <c r="A185" s="213" t="s">
        <v>85</v>
      </c>
      <c r="B185" s="172" t="s">
        <v>9</v>
      </c>
      <c r="C185" s="30">
        <f>C186+C198+C199+C209+C216+C219+C220</f>
        <v>18547433</v>
      </c>
      <c r="D185" s="30">
        <f>D186+D198+D199+D209+D216+D219+D220</f>
        <v>15167831</v>
      </c>
      <c r="E185" s="30">
        <f aca="true" t="shared" si="43" ref="E185:O185">E186+E198+E199+E209+E216+E219+E220</f>
        <v>0</v>
      </c>
      <c r="F185" s="30">
        <f t="shared" si="43"/>
        <v>0</v>
      </c>
      <c r="G185" s="30">
        <f t="shared" si="43"/>
        <v>0</v>
      </c>
      <c r="H185" s="30">
        <f t="shared" si="43"/>
        <v>1435992</v>
      </c>
      <c r="I185" s="30">
        <f t="shared" si="43"/>
        <v>0</v>
      </c>
      <c r="J185" s="30">
        <f t="shared" si="43"/>
        <v>382460</v>
      </c>
      <c r="K185" s="30">
        <f t="shared" si="43"/>
        <v>1111192</v>
      </c>
      <c r="L185" s="30">
        <f t="shared" si="43"/>
        <v>26924</v>
      </c>
      <c r="M185" s="30">
        <f t="shared" si="43"/>
        <v>38132</v>
      </c>
      <c r="N185" s="30">
        <f t="shared" si="43"/>
        <v>23796</v>
      </c>
      <c r="O185" s="30">
        <f t="shared" si="43"/>
        <v>507400</v>
      </c>
      <c r="P185" s="31">
        <f t="shared" si="39"/>
        <v>18693727</v>
      </c>
    </row>
    <row r="186" spans="1:16" ht="15">
      <c r="A186" s="118" t="s">
        <v>86</v>
      </c>
      <c r="B186" s="119" t="s">
        <v>274</v>
      </c>
      <c r="C186" s="121">
        <f>SUM(C187:C197)</f>
        <v>4567643</v>
      </c>
      <c r="D186" s="121">
        <f>SUM(D187:D197)</f>
        <v>4367168</v>
      </c>
      <c r="E186" s="121">
        <f aca="true" t="shared" si="44" ref="E186:O186">SUM(E187:E197)</f>
        <v>0</v>
      </c>
      <c r="F186" s="121">
        <f t="shared" si="44"/>
        <v>0</v>
      </c>
      <c r="G186" s="121">
        <f t="shared" si="44"/>
        <v>0</v>
      </c>
      <c r="H186" s="121">
        <f t="shared" si="44"/>
        <v>0</v>
      </c>
      <c r="I186" s="121">
        <f t="shared" si="44"/>
        <v>0</v>
      </c>
      <c r="J186" s="121">
        <f>SUM(J187:J197)</f>
        <v>129333</v>
      </c>
      <c r="K186" s="121">
        <f t="shared" si="44"/>
        <v>316961</v>
      </c>
      <c r="L186" s="121">
        <f t="shared" si="44"/>
        <v>0</v>
      </c>
      <c r="M186" s="121">
        <f t="shared" si="44"/>
        <v>0</v>
      </c>
      <c r="N186" s="121">
        <f t="shared" si="44"/>
        <v>0</v>
      </c>
      <c r="O186" s="121">
        <f t="shared" si="44"/>
        <v>0</v>
      </c>
      <c r="P186" s="174">
        <f t="shared" si="39"/>
        <v>4813462</v>
      </c>
    </row>
    <row r="187" spans="1:16" ht="15.75" customHeight="1">
      <c r="A187" s="127" t="s">
        <v>235</v>
      </c>
      <c r="B187" s="214" t="s">
        <v>87</v>
      </c>
      <c r="C187" s="214">
        <v>290625</v>
      </c>
      <c r="D187" s="39">
        <v>293569</v>
      </c>
      <c r="E187" s="39"/>
      <c r="F187" s="39"/>
      <c r="G187" s="1"/>
      <c r="H187" s="86"/>
      <c r="I187" s="86"/>
      <c r="J187" s="86"/>
      <c r="K187" s="61"/>
      <c r="L187" s="61"/>
      <c r="M187" s="61"/>
      <c r="N187" s="61"/>
      <c r="O187" s="62"/>
      <c r="P187" s="126">
        <f t="shared" si="39"/>
        <v>293569</v>
      </c>
    </row>
    <row r="188" spans="1:16" ht="15">
      <c r="A188" s="127" t="s">
        <v>236</v>
      </c>
      <c r="B188" s="214" t="s">
        <v>88</v>
      </c>
      <c r="C188" s="215">
        <v>566755</v>
      </c>
      <c r="D188" s="1">
        <v>573919</v>
      </c>
      <c r="E188" s="39"/>
      <c r="F188" s="39"/>
      <c r="G188" s="1"/>
      <c r="H188" s="86"/>
      <c r="I188" s="86"/>
      <c r="J188" s="86"/>
      <c r="K188" s="61"/>
      <c r="L188" s="61"/>
      <c r="M188" s="61"/>
      <c r="N188" s="61"/>
      <c r="O188" s="62"/>
      <c r="P188" s="126">
        <f t="shared" si="39"/>
        <v>573919</v>
      </c>
    </row>
    <row r="189" spans="1:16" ht="15">
      <c r="A189" s="127" t="s">
        <v>237</v>
      </c>
      <c r="B189" s="214" t="s">
        <v>89</v>
      </c>
      <c r="C189" s="215">
        <v>553836</v>
      </c>
      <c r="D189" s="1">
        <v>590465</v>
      </c>
      <c r="E189" s="39"/>
      <c r="F189" s="39"/>
      <c r="G189" s="1"/>
      <c r="H189" s="86"/>
      <c r="I189" s="86"/>
      <c r="J189" s="86"/>
      <c r="K189" s="61"/>
      <c r="L189" s="61"/>
      <c r="M189" s="61"/>
      <c r="N189" s="61"/>
      <c r="O189" s="62"/>
      <c r="P189" s="126">
        <f t="shared" si="39"/>
        <v>590465</v>
      </c>
    </row>
    <row r="190" spans="1:16" ht="15">
      <c r="A190" s="127" t="s">
        <v>238</v>
      </c>
      <c r="B190" s="214" t="s">
        <v>90</v>
      </c>
      <c r="C190" s="215">
        <v>628913</v>
      </c>
      <c r="D190" s="1">
        <v>614373</v>
      </c>
      <c r="E190" s="39"/>
      <c r="F190" s="39"/>
      <c r="G190" s="1"/>
      <c r="H190" s="86"/>
      <c r="I190" s="86"/>
      <c r="J190" s="86"/>
      <c r="K190" s="61"/>
      <c r="L190" s="61"/>
      <c r="M190" s="61"/>
      <c r="N190" s="61"/>
      <c r="O190" s="62"/>
      <c r="P190" s="126">
        <f t="shared" si="39"/>
        <v>614373</v>
      </c>
    </row>
    <row r="191" spans="1:16" ht="15">
      <c r="A191" s="127" t="s">
        <v>239</v>
      </c>
      <c r="B191" s="214" t="s">
        <v>91</v>
      </c>
      <c r="C191" s="215">
        <v>681995</v>
      </c>
      <c r="D191" s="1">
        <f>698884</f>
        <v>698884</v>
      </c>
      <c r="E191" s="39"/>
      <c r="F191" s="39"/>
      <c r="G191" s="1"/>
      <c r="H191" s="86"/>
      <c r="I191" s="86"/>
      <c r="J191" s="46"/>
      <c r="K191" s="61"/>
      <c r="L191" s="61"/>
      <c r="M191" s="61"/>
      <c r="N191" s="61"/>
      <c r="O191" s="62"/>
      <c r="P191" s="126">
        <f t="shared" si="39"/>
        <v>698884</v>
      </c>
    </row>
    <row r="192" spans="1:16" ht="15">
      <c r="A192" s="127" t="s">
        <v>240</v>
      </c>
      <c r="B192" s="214" t="s">
        <v>92</v>
      </c>
      <c r="C192" s="215">
        <v>371593</v>
      </c>
      <c r="D192" s="1">
        <v>378148</v>
      </c>
      <c r="E192" s="39"/>
      <c r="F192" s="39"/>
      <c r="G192" s="1"/>
      <c r="H192" s="86"/>
      <c r="I192" s="86"/>
      <c r="J192" s="86"/>
      <c r="K192" s="61"/>
      <c r="L192" s="61"/>
      <c r="M192" s="61"/>
      <c r="N192" s="61"/>
      <c r="O192" s="62"/>
      <c r="P192" s="126">
        <f aca="true" t="shared" si="45" ref="P192:P223">SUM(D192:O192)</f>
        <v>378148</v>
      </c>
    </row>
    <row r="193" spans="1:16" ht="15">
      <c r="A193" s="127" t="s">
        <v>241</v>
      </c>
      <c r="B193" s="214" t="s">
        <v>130</v>
      </c>
      <c r="C193" s="215">
        <v>547953</v>
      </c>
      <c r="D193" s="1">
        <f>548497+143876</f>
        <v>692373</v>
      </c>
      <c r="E193" s="39"/>
      <c r="F193" s="39"/>
      <c r="G193" s="1"/>
      <c r="H193" s="86"/>
      <c r="I193" s="86"/>
      <c r="J193" s="86"/>
      <c r="K193" s="61"/>
      <c r="L193" s="61"/>
      <c r="M193" s="61"/>
      <c r="N193" s="61"/>
      <c r="O193" s="62"/>
      <c r="P193" s="126">
        <f t="shared" si="45"/>
        <v>692373</v>
      </c>
    </row>
    <row r="194" spans="1:16" ht="15">
      <c r="A194" s="127" t="s">
        <v>242</v>
      </c>
      <c r="B194" s="214" t="s">
        <v>186</v>
      </c>
      <c r="C194" s="215">
        <v>388970</v>
      </c>
      <c r="D194" s="1">
        <v>385037</v>
      </c>
      <c r="E194" s="1"/>
      <c r="F194" s="1"/>
      <c r="G194" s="1"/>
      <c r="H194" s="86"/>
      <c r="I194" s="86"/>
      <c r="J194" s="46"/>
      <c r="K194" s="62"/>
      <c r="L194" s="62"/>
      <c r="M194" s="62"/>
      <c r="N194" s="62"/>
      <c r="O194" s="62"/>
      <c r="P194" s="126">
        <f t="shared" si="45"/>
        <v>385037</v>
      </c>
    </row>
    <row r="195" spans="1:16" ht="15">
      <c r="A195" s="127" t="s">
        <v>243</v>
      </c>
      <c r="B195" s="214" t="s">
        <v>153</v>
      </c>
      <c r="C195" s="215">
        <v>307867</v>
      </c>
      <c r="D195" s="1"/>
      <c r="E195" s="1"/>
      <c r="F195" s="1"/>
      <c r="G195" s="1"/>
      <c r="H195" s="86"/>
      <c r="I195" s="86"/>
      <c r="J195" s="86"/>
      <c r="K195" s="61">
        <v>316961</v>
      </c>
      <c r="L195" s="62"/>
      <c r="M195" s="62"/>
      <c r="N195" s="62"/>
      <c r="O195" s="62"/>
      <c r="P195" s="126">
        <f t="shared" si="45"/>
        <v>316961</v>
      </c>
    </row>
    <row r="196" spans="1:16" ht="30">
      <c r="A196" s="127" t="s">
        <v>244</v>
      </c>
      <c r="B196" s="214" t="s">
        <v>414</v>
      </c>
      <c r="C196" s="215">
        <v>120834</v>
      </c>
      <c r="D196" s="1">
        <v>140400</v>
      </c>
      <c r="E196" s="1"/>
      <c r="F196" s="1"/>
      <c r="G196" s="1"/>
      <c r="H196" s="86"/>
      <c r="I196" s="86"/>
      <c r="J196" s="86"/>
      <c r="K196" s="62"/>
      <c r="L196" s="62"/>
      <c r="M196" s="62"/>
      <c r="N196" s="62"/>
      <c r="O196" s="176"/>
      <c r="P196" s="126">
        <f t="shared" si="45"/>
        <v>140400</v>
      </c>
    </row>
    <row r="197" spans="1:16" ht="15">
      <c r="A197" s="127" t="s">
        <v>415</v>
      </c>
      <c r="B197" s="214" t="s">
        <v>91</v>
      </c>
      <c r="C197" s="215">
        <v>108302</v>
      </c>
      <c r="D197" s="1"/>
      <c r="E197" s="1"/>
      <c r="F197" s="1"/>
      <c r="G197" s="1"/>
      <c r="H197" s="86"/>
      <c r="I197" s="190"/>
      <c r="J197" s="201">
        <v>129333</v>
      </c>
      <c r="K197" s="62"/>
      <c r="L197" s="62"/>
      <c r="M197" s="62"/>
      <c r="N197" s="62"/>
      <c r="O197" s="62"/>
      <c r="P197" s="126">
        <f t="shared" si="45"/>
        <v>129333</v>
      </c>
    </row>
    <row r="198" spans="1:16" ht="15">
      <c r="A198" s="125" t="s">
        <v>93</v>
      </c>
      <c r="B198" s="216" t="s">
        <v>245</v>
      </c>
      <c r="C198" s="217">
        <v>1235702</v>
      </c>
      <c r="D198" s="1">
        <v>1048891</v>
      </c>
      <c r="E198" s="1"/>
      <c r="F198" s="1"/>
      <c r="G198" s="1"/>
      <c r="H198" s="9"/>
      <c r="I198" s="190"/>
      <c r="J198" s="190"/>
      <c r="K198" s="62"/>
      <c r="L198" s="62"/>
      <c r="M198" s="62"/>
      <c r="N198" s="62"/>
      <c r="O198" s="62"/>
      <c r="P198" s="126">
        <f t="shared" si="45"/>
        <v>1048891</v>
      </c>
    </row>
    <row r="199" spans="1:16" ht="29.25">
      <c r="A199" s="125" t="s">
        <v>156</v>
      </c>
      <c r="B199" s="81" t="s">
        <v>246</v>
      </c>
      <c r="C199" s="6">
        <f>SUM(C200:C208)</f>
        <v>8140561</v>
      </c>
      <c r="D199" s="6">
        <f>SUM(D200:D208)</f>
        <v>4080237</v>
      </c>
      <c r="E199" s="6">
        <f aca="true" t="shared" si="46" ref="E199:O199">SUM(E200:E208)</f>
        <v>0</v>
      </c>
      <c r="F199" s="6">
        <f t="shared" si="46"/>
        <v>0</v>
      </c>
      <c r="G199" s="6">
        <f t="shared" si="46"/>
        <v>0</v>
      </c>
      <c r="H199" s="82">
        <f t="shared" si="46"/>
        <v>1412229</v>
      </c>
      <c r="I199" s="6">
        <f t="shared" si="46"/>
        <v>0</v>
      </c>
      <c r="J199" s="6">
        <f t="shared" si="46"/>
        <v>232485</v>
      </c>
      <c r="K199" s="6">
        <f t="shared" si="46"/>
        <v>529858</v>
      </c>
      <c r="L199" s="6">
        <f t="shared" si="46"/>
        <v>0</v>
      </c>
      <c r="M199" s="6">
        <f t="shared" si="46"/>
        <v>17289</v>
      </c>
      <c r="N199" s="6">
        <f t="shared" si="46"/>
        <v>9750</v>
      </c>
      <c r="O199" s="6">
        <f t="shared" si="46"/>
        <v>492032</v>
      </c>
      <c r="P199" s="126">
        <f t="shared" si="45"/>
        <v>6773880</v>
      </c>
    </row>
    <row r="200" spans="1:16" ht="15">
      <c r="A200" s="127" t="s">
        <v>247</v>
      </c>
      <c r="B200" s="214" t="s">
        <v>94</v>
      </c>
      <c r="C200" s="215">
        <v>2266145</v>
      </c>
      <c r="D200" s="1">
        <v>1825124</v>
      </c>
      <c r="E200" s="39"/>
      <c r="F200" s="39"/>
      <c r="G200" s="1"/>
      <c r="H200" s="86"/>
      <c r="I200" s="86"/>
      <c r="J200" s="86"/>
      <c r="K200" s="61"/>
      <c r="L200" s="61"/>
      <c r="M200" s="61"/>
      <c r="N200" s="61"/>
      <c r="O200" s="62"/>
      <c r="P200" s="126">
        <f t="shared" si="45"/>
        <v>1825124</v>
      </c>
    </row>
    <row r="201" spans="1:16" ht="15">
      <c r="A201" s="127" t="s">
        <v>248</v>
      </c>
      <c r="B201" s="214" t="s">
        <v>95</v>
      </c>
      <c r="C201" s="215">
        <v>1127771</v>
      </c>
      <c r="D201" s="1">
        <v>852395</v>
      </c>
      <c r="E201" s="39"/>
      <c r="F201" s="39"/>
      <c r="G201" s="1"/>
      <c r="H201" s="86"/>
      <c r="I201" s="86"/>
      <c r="J201" s="86"/>
      <c r="K201" s="61"/>
      <c r="L201" s="61"/>
      <c r="M201" s="61"/>
      <c r="N201" s="61"/>
      <c r="O201" s="62"/>
      <c r="P201" s="126">
        <f t="shared" si="45"/>
        <v>852395</v>
      </c>
    </row>
    <row r="202" spans="1:16" ht="15">
      <c r="A202" s="127" t="s">
        <v>249</v>
      </c>
      <c r="B202" s="214" t="s">
        <v>96</v>
      </c>
      <c r="C202" s="215">
        <v>1212170</v>
      </c>
      <c r="D202" s="1">
        <f>996492+22925</f>
        <v>1019417</v>
      </c>
      <c r="E202" s="39"/>
      <c r="F202" s="39"/>
      <c r="G202" s="1"/>
      <c r="H202" s="86"/>
      <c r="I202" s="86"/>
      <c r="J202" s="86"/>
      <c r="K202" s="61"/>
      <c r="L202" s="61"/>
      <c r="M202" s="61"/>
      <c r="N202" s="61"/>
      <c r="O202" s="62"/>
      <c r="P202" s="126">
        <f t="shared" si="45"/>
        <v>1019417</v>
      </c>
    </row>
    <row r="203" spans="1:16" ht="15">
      <c r="A203" s="127" t="s">
        <v>250</v>
      </c>
      <c r="B203" s="38" t="s">
        <v>97</v>
      </c>
      <c r="C203" s="7">
        <v>462381</v>
      </c>
      <c r="D203" s="1">
        <v>383301</v>
      </c>
      <c r="E203" s="39"/>
      <c r="F203" s="39"/>
      <c r="G203" s="1"/>
      <c r="H203" s="86"/>
      <c r="I203" s="86"/>
      <c r="J203" s="86"/>
      <c r="K203" s="61"/>
      <c r="L203" s="61"/>
      <c r="M203" s="61"/>
      <c r="N203" s="61"/>
      <c r="O203" s="62"/>
      <c r="P203" s="126">
        <f t="shared" si="45"/>
        <v>383301</v>
      </c>
    </row>
    <row r="204" spans="1:16" ht="15">
      <c r="A204" s="127" t="s">
        <v>251</v>
      </c>
      <c r="B204" s="38" t="s">
        <v>154</v>
      </c>
      <c r="C204" s="7">
        <v>252001</v>
      </c>
      <c r="D204" s="1"/>
      <c r="E204" s="39"/>
      <c r="F204" s="39"/>
      <c r="G204" s="1"/>
      <c r="H204" s="86"/>
      <c r="I204" s="86"/>
      <c r="J204" s="46">
        <v>232485</v>
      </c>
      <c r="K204" s="62"/>
      <c r="L204" s="62"/>
      <c r="M204" s="62"/>
      <c r="N204" s="62"/>
      <c r="O204" s="62"/>
      <c r="P204" s="126">
        <f t="shared" si="45"/>
        <v>232485</v>
      </c>
    </row>
    <row r="205" spans="1:16" ht="15">
      <c r="A205" s="127" t="s">
        <v>252</v>
      </c>
      <c r="B205" s="38" t="s">
        <v>155</v>
      </c>
      <c r="C205" s="7">
        <v>669589</v>
      </c>
      <c r="D205" s="1"/>
      <c r="E205" s="39"/>
      <c r="F205" s="39"/>
      <c r="G205" s="1"/>
      <c r="H205" s="86"/>
      <c r="I205" s="86"/>
      <c r="J205" s="46"/>
      <c r="K205" s="61">
        <v>529858</v>
      </c>
      <c r="L205" s="62"/>
      <c r="M205" s="62"/>
      <c r="N205" s="62"/>
      <c r="O205" s="62"/>
      <c r="P205" s="126">
        <f t="shared" si="45"/>
        <v>529858</v>
      </c>
    </row>
    <row r="206" spans="1:16" ht="15">
      <c r="A206" s="127" t="s">
        <v>253</v>
      </c>
      <c r="B206" s="38" t="s">
        <v>292</v>
      </c>
      <c r="C206" s="7">
        <v>620351</v>
      </c>
      <c r="D206" s="1"/>
      <c r="E206" s="39"/>
      <c r="F206" s="39"/>
      <c r="G206" s="1"/>
      <c r="H206" s="86"/>
      <c r="I206" s="86"/>
      <c r="J206" s="46"/>
      <c r="K206" s="62"/>
      <c r="L206" s="62"/>
      <c r="M206" s="62">
        <v>17289</v>
      </c>
      <c r="N206" s="62">
        <v>9750</v>
      </c>
      <c r="O206" s="61">
        <f>491032+1000</f>
        <v>492032</v>
      </c>
      <c r="P206" s="126">
        <f t="shared" si="45"/>
        <v>519071</v>
      </c>
    </row>
    <row r="207" spans="1:16" ht="15">
      <c r="A207" s="127" t="s">
        <v>254</v>
      </c>
      <c r="B207" s="38" t="s">
        <v>157</v>
      </c>
      <c r="C207" s="7">
        <v>1009894</v>
      </c>
      <c r="D207" s="1"/>
      <c r="E207" s="39"/>
      <c r="F207" s="39"/>
      <c r="G207" s="1"/>
      <c r="H207" s="9">
        <v>916084</v>
      </c>
      <c r="I207" s="86"/>
      <c r="J207" s="46"/>
      <c r="K207" s="62"/>
      <c r="L207" s="62"/>
      <c r="M207" s="62"/>
      <c r="N207" s="62"/>
      <c r="O207" s="62"/>
      <c r="P207" s="126">
        <f t="shared" si="45"/>
        <v>916084</v>
      </c>
    </row>
    <row r="208" spans="1:16" ht="15">
      <c r="A208" s="127" t="s">
        <v>255</v>
      </c>
      <c r="B208" s="38" t="s">
        <v>158</v>
      </c>
      <c r="C208" s="7">
        <v>520259</v>
      </c>
      <c r="D208" s="1"/>
      <c r="E208" s="1"/>
      <c r="F208" s="1"/>
      <c r="G208" s="1"/>
      <c r="H208" s="9">
        <f>396145+100000</f>
        <v>496145</v>
      </c>
      <c r="I208" s="46"/>
      <c r="J208" s="46"/>
      <c r="K208" s="62"/>
      <c r="L208" s="62"/>
      <c r="M208" s="62"/>
      <c r="N208" s="62"/>
      <c r="O208" s="62"/>
      <c r="P208" s="126">
        <f t="shared" si="45"/>
        <v>496145</v>
      </c>
    </row>
    <row r="209" spans="1:16" ht="15" customHeight="1">
      <c r="A209" s="125" t="s">
        <v>98</v>
      </c>
      <c r="B209" s="81" t="s">
        <v>99</v>
      </c>
      <c r="C209" s="6">
        <f>SUM(C210:C215)</f>
        <v>2465959</v>
      </c>
      <c r="D209" s="6">
        <f>SUM(D210:D215)</f>
        <v>2262166</v>
      </c>
      <c r="E209" s="6">
        <f aca="true" t="shared" si="47" ref="E209:O209">SUM(E210:E215)</f>
        <v>0</v>
      </c>
      <c r="F209" s="6">
        <f t="shared" si="47"/>
        <v>0</v>
      </c>
      <c r="G209" s="6">
        <f t="shared" si="47"/>
        <v>0</v>
      </c>
      <c r="H209" s="82">
        <f t="shared" si="47"/>
        <v>0</v>
      </c>
      <c r="I209" s="6">
        <f t="shared" si="47"/>
        <v>0</v>
      </c>
      <c r="J209" s="6">
        <f t="shared" si="47"/>
        <v>0</v>
      </c>
      <c r="K209" s="6">
        <f t="shared" si="47"/>
        <v>148247</v>
      </c>
      <c r="L209" s="6">
        <f t="shared" si="47"/>
        <v>0</v>
      </c>
      <c r="M209" s="6">
        <f t="shared" si="47"/>
        <v>0</v>
      </c>
      <c r="N209" s="6">
        <f t="shared" si="47"/>
        <v>0</v>
      </c>
      <c r="O209" s="6">
        <f t="shared" si="47"/>
        <v>0</v>
      </c>
      <c r="P209" s="126">
        <f t="shared" si="45"/>
        <v>2410413</v>
      </c>
    </row>
    <row r="210" spans="1:16" ht="15">
      <c r="A210" s="127" t="s">
        <v>256</v>
      </c>
      <c r="B210" s="38" t="s">
        <v>100</v>
      </c>
      <c r="C210" s="7">
        <v>684607</v>
      </c>
      <c r="D210" s="1">
        <v>755791</v>
      </c>
      <c r="E210" s="39"/>
      <c r="F210" s="39"/>
      <c r="G210" s="1"/>
      <c r="H210" s="86"/>
      <c r="I210" s="86"/>
      <c r="J210" s="86"/>
      <c r="K210" s="61"/>
      <c r="L210" s="61"/>
      <c r="M210" s="61"/>
      <c r="N210" s="61"/>
      <c r="O210" s="62"/>
      <c r="P210" s="126">
        <f t="shared" si="45"/>
        <v>755791</v>
      </c>
    </row>
    <row r="211" spans="1:16" ht="15">
      <c r="A211" s="127" t="s">
        <v>257</v>
      </c>
      <c r="B211" s="38" t="s">
        <v>131</v>
      </c>
      <c r="C211" s="7">
        <v>287815</v>
      </c>
      <c r="D211" s="1">
        <v>306047</v>
      </c>
      <c r="E211" s="39"/>
      <c r="F211" s="39"/>
      <c r="G211" s="1"/>
      <c r="H211" s="86"/>
      <c r="I211" s="86"/>
      <c r="J211" s="86"/>
      <c r="K211" s="61"/>
      <c r="L211" s="61"/>
      <c r="M211" s="61"/>
      <c r="N211" s="61"/>
      <c r="O211" s="62"/>
      <c r="P211" s="126">
        <f t="shared" si="45"/>
        <v>306047</v>
      </c>
    </row>
    <row r="212" spans="1:16" ht="15">
      <c r="A212" s="127" t="s">
        <v>258</v>
      </c>
      <c r="B212" s="38" t="s">
        <v>101</v>
      </c>
      <c r="C212" s="7">
        <v>698677</v>
      </c>
      <c r="D212" s="1">
        <v>624277</v>
      </c>
      <c r="E212" s="39"/>
      <c r="F212" s="39"/>
      <c r="G212" s="1"/>
      <c r="H212" s="86"/>
      <c r="I212" s="86"/>
      <c r="J212" s="86"/>
      <c r="K212" s="61"/>
      <c r="L212" s="61"/>
      <c r="M212" s="61"/>
      <c r="N212" s="61"/>
      <c r="O212" s="62"/>
      <c r="P212" s="126">
        <f t="shared" si="45"/>
        <v>624277</v>
      </c>
    </row>
    <row r="213" spans="1:16" ht="15">
      <c r="A213" s="127" t="s">
        <v>259</v>
      </c>
      <c r="B213" s="38" t="s">
        <v>102</v>
      </c>
      <c r="C213" s="7">
        <v>461249</v>
      </c>
      <c r="D213" s="1">
        <f>435311+4000</f>
        <v>439311</v>
      </c>
      <c r="E213" s="39"/>
      <c r="F213" s="39"/>
      <c r="G213" s="1"/>
      <c r="H213" s="46"/>
      <c r="I213" s="86"/>
      <c r="J213" s="86"/>
      <c r="K213" s="61"/>
      <c r="L213" s="61"/>
      <c r="M213" s="61"/>
      <c r="N213" s="61"/>
      <c r="O213" s="62"/>
      <c r="P213" s="126">
        <f t="shared" si="45"/>
        <v>439311</v>
      </c>
    </row>
    <row r="214" spans="1:16" ht="15">
      <c r="A214" s="127" t="s">
        <v>260</v>
      </c>
      <c r="B214" s="38" t="s">
        <v>103</v>
      </c>
      <c r="C214" s="38">
        <v>156858</v>
      </c>
      <c r="D214" s="39">
        <v>136740</v>
      </c>
      <c r="E214" s="39"/>
      <c r="F214" s="39"/>
      <c r="G214" s="1"/>
      <c r="H214" s="86"/>
      <c r="I214" s="86"/>
      <c r="J214" s="86"/>
      <c r="K214" s="61"/>
      <c r="L214" s="61"/>
      <c r="M214" s="61"/>
      <c r="N214" s="61"/>
      <c r="O214" s="62"/>
      <c r="P214" s="126">
        <f t="shared" si="45"/>
        <v>136740</v>
      </c>
    </row>
    <row r="215" spans="1:16" ht="15">
      <c r="A215" s="127" t="s">
        <v>261</v>
      </c>
      <c r="B215" s="38" t="s">
        <v>159</v>
      </c>
      <c r="C215" s="38">
        <v>176753</v>
      </c>
      <c r="D215" s="39"/>
      <c r="E215" s="39"/>
      <c r="F215" s="39"/>
      <c r="G215" s="1"/>
      <c r="H215" s="86"/>
      <c r="I215" s="86"/>
      <c r="J215" s="86"/>
      <c r="K215" s="61">
        <v>148247</v>
      </c>
      <c r="L215" s="61"/>
      <c r="M215" s="61"/>
      <c r="N215" s="61"/>
      <c r="O215" s="62"/>
      <c r="P215" s="126">
        <f t="shared" si="45"/>
        <v>148247</v>
      </c>
    </row>
    <row r="216" spans="1:16" ht="15">
      <c r="A216" s="125" t="s">
        <v>160</v>
      </c>
      <c r="B216" s="81" t="s">
        <v>161</v>
      </c>
      <c r="C216" s="82">
        <f>SUM(C217:C218)</f>
        <v>300800</v>
      </c>
      <c r="D216" s="82">
        <f>SUM(D217:D218)</f>
        <v>205000</v>
      </c>
      <c r="E216" s="39"/>
      <c r="F216" s="39"/>
      <c r="G216" s="1"/>
      <c r="H216" s="86"/>
      <c r="I216" s="86"/>
      <c r="J216" s="86"/>
      <c r="K216" s="82">
        <f>SUM(K217:K218)</f>
        <v>104671</v>
      </c>
      <c r="L216" s="61"/>
      <c r="M216" s="61"/>
      <c r="N216" s="61"/>
      <c r="O216" s="62"/>
      <c r="P216" s="126">
        <f t="shared" si="45"/>
        <v>309671</v>
      </c>
    </row>
    <row r="217" spans="1:16" ht="15">
      <c r="A217" s="127" t="s">
        <v>416</v>
      </c>
      <c r="B217" s="38" t="s">
        <v>417</v>
      </c>
      <c r="C217" s="7">
        <v>134650</v>
      </c>
      <c r="D217" s="1">
        <v>40000</v>
      </c>
      <c r="E217" s="1"/>
      <c r="F217" s="1"/>
      <c r="G217" s="1"/>
      <c r="H217" s="86"/>
      <c r="I217" s="86"/>
      <c r="J217" s="86"/>
      <c r="K217" s="62">
        <v>88461</v>
      </c>
      <c r="L217" s="62"/>
      <c r="M217" s="62"/>
      <c r="N217" s="62"/>
      <c r="O217" s="62"/>
      <c r="P217" s="126">
        <f t="shared" si="45"/>
        <v>128461</v>
      </c>
    </row>
    <row r="218" spans="1:16" ht="15">
      <c r="A218" s="127" t="s">
        <v>418</v>
      </c>
      <c r="B218" s="38" t="s">
        <v>419</v>
      </c>
      <c r="C218" s="7">
        <v>166150</v>
      </c>
      <c r="D218" s="1">
        <v>165000</v>
      </c>
      <c r="E218" s="1"/>
      <c r="F218" s="1"/>
      <c r="G218" s="1"/>
      <c r="H218" s="86"/>
      <c r="I218" s="86"/>
      <c r="J218" s="86"/>
      <c r="K218" s="62">
        <v>16210</v>
      </c>
      <c r="L218" s="62"/>
      <c r="M218" s="62"/>
      <c r="N218" s="62"/>
      <c r="O218" s="62"/>
      <c r="P218" s="126">
        <f t="shared" si="45"/>
        <v>181210</v>
      </c>
    </row>
    <row r="219" spans="1:16" ht="29.25">
      <c r="A219" s="125" t="s">
        <v>420</v>
      </c>
      <c r="B219" s="81" t="s">
        <v>350</v>
      </c>
      <c r="C219" s="209">
        <v>266999</v>
      </c>
      <c r="D219" s="6">
        <v>191868</v>
      </c>
      <c r="E219" s="6"/>
      <c r="F219" s="6"/>
      <c r="G219" s="6"/>
      <c r="H219" s="149"/>
      <c r="I219" s="149"/>
      <c r="J219" s="149"/>
      <c r="K219" s="218"/>
      <c r="L219" s="218"/>
      <c r="M219" s="218"/>
      <c r="N219" s="218"/>
      <c r="O219" s="218"/>
      <c r="P219" s="126">
        <f t="shared" si="45"/>
        <v>191868</v>
      </c>
    </row>
    <row r="220" spans="1:16" ht="30.75" customHeight="1" thickBot="1">
      <c r="A220" s="219" t="s">
        <v>104</v>
      </c>
      <c r="B220" s="220" t="s">
        <v>262</v>
      </c>
      <c r="C220" s="221">
        <f>SUM(C221:C238)</f>
        <v>1569769</v>
      </c>
      <c r="D220" s="221">
        <f>SUM(D221:D238)</f>
        <v>3012501</v>
      </c>
      <c r="E220" s="221">
        <f aca="true" t="shared" si="48" ref="E220:O220">SUM(E221:E238)</f>
        <v>0</v>
      </c>
      <c r="F220" s="221">
        <f t="shared" si="48"/>
        <v>0</v>
      </c>
      <c r="G220" s="221">
        <f t="shared" si="48"/>
        <v>0</v>
      </c>
      <c r="H220" s="221">
        <f t="shared" si="48"/>
        <v>23763</v>
      </c>
      <c r="I220" s="221">
        <f t="shared" si="48"/>
        <v>0</v>
      </c>
      <c r="J220" s="221">
        <f t="shared" si="48"/>
        <v>20642</v>
      </c>
      <c r="K220" s="221">
        <f t="shared" si="48"/>
        <v>11455</v>
      </c>
      <c r="L220" s="221">
        <f t="shared" si="48"/>
        <v>26924</v>
      </c>
      <c r="M220" s="221">
        <f t="shared" si="48"/>
        <v>20843</v>
      </c>
      <c r="N220" s="221">
        <f t="shared" si="48"/>
        <v>14046</v>
      </c>
      <c r="O220" s="221">
        <f t="shared" si="48"/>
        <v>15368</v>
      </c>
      <c r="P220" s="222">
        <f t="shared" si="45"/>
        <v>3145542</v>
      </c>
    </row>
    <row r="221" spans="1:16" ht="30.75" customHeight="1">
      <c r="A221" s="158" t="s">
        <v>421</v>
      </c>
      <c r="B221" s="160" t="s">
        <v>422</v>
      </c>
      <c r="C221" s="193">
        <v>15405</v>
      </c>
      <c r="D221" s="66">
        <v>17036</v>
      </c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26">
        <f t="shared" si="45"/>
        <v>17036</v>
      </c>
    </row>
    <row r="222" spans="1:16" ht="15">
      <c r="A222" s="158" t="s">
        <v>263</v>
      </c>
      <c r="B222" s="160" t="s">
        <v>329</v>
      </c>
      <c r="C222" s="170">
        <v>44570</v>
      </c>
      <c r="D222" s="1"/>
      <c r="E222" s="39"/>
      <c r="F222" s="39"/>
      <c r="G222" s="1"/>
      <c r="H222" s="86"/>
      <c r="I222" s="86"/>
      <c r="J222" s="86"/>
      <c r="K222" s="61"/>
      <c r="L222" s="61">
        <v>26924</v>
      </c>
      <c r="M222" s="61">
        <v>20843</v>
      </c>
      <c r="N222" s="61"/>
      <c r="O222" s="62"/>
      <c r="P222" s="126">
        <f t="shared" si="45"/>
        <v>47767</v>
      </c>
    </row>
    <row r="223" spans="1:16" ht="15">
      <c r="A223" s="158" t="s">
        <v>264</v>
      </c>
      <c r="B223" s="204" t="s">
        <v>187</v>
      </c>
      <c r="C223" s="170">
        <v>56970</v>
      </c>
      <c r="D223" s="1"/>
      <c r="E223" s="39"/>
      <c r="F223" s="39"/>
      <c r="G223" s="1"/>
      <c r="H223" s="46">
        <v>23763</v>
      </c>
      <c r="I223" s="86"/>
      <c r="J223" s="46">
        <v>20642</v>
      </c>
      <c r="K223" s="61">
        <v>11455</v>
      </c>
      <c r="L223" s="61"/>
      <c r="M223" s="61"/>
      <c r="N223" s="61">
        <v>14046</v>
      </c>
      <c r="O223" s="62">
        <v>15368</v>
      </c>
      <c r="P223" s="126">
        <f t="shared" si="45"/>
        <v>85274</v>
      </c>
    </row>
    <row r="224" spans="1:16" ht="30">
      <c r="A224" s="127" t="s">
        <v>423</v>
      </c>
      <c r="B224" s="160" t="s">
        <v>424</v>
      </c>
      <c r="C224" s="170">
        <v>1637</v>
      </c>
      <c r="D224" s="1"/>
      <c r="E224" s="39"/>
      <c r="F224" s="39"/>
      <c r="G224" s="1"/>
      <c r="H224" s="46"/>
      <c r="I224" s="86"/>
      <c r="J224" s="46"/>
      <c r="K224" s="61"/>
      <c r="L224" s="61"/>
      <c r="M224" s="61"/>
      <c r="N224" s="61"/>
      <c r="O224" s="62"/>
      <c r="P224" s="126">
        <f aca="true" t="shared" si="49" ref="P224:P256">SUM(D224:O224)</f>
        <v>0</v>
      </c>
    </row>
    <row r="225" spans="1:16" ht="60">
      <c r="A225" s="127" t="s">
        <v>317</v>
      </c>
      <c r="B225" s="223" t="s">
        <v>425</v>
      </c>
      <c r="C225" s="224">
        <v>7227</v>
      </c>
      <c r="D225" s="1">
        <v>732</v>
      </c>
      <c r="E225" s="39"/>
      <c r="F225" s="39"/>
      <c r="G225" s="1"/>
      <c r="H225" s="86"/>
      <c r="I225" s="86"/>
      <c r="J225" s="86"/>
      <c r="K225" s="61"/>
      <c r="L225" s="61"/>
      <c r="M225" s="61"/>
      <c r="N225" s="61"/>
      <c r="O225" s="62"/>
      <c r="P225" s="126">
        <f t="shared" si="49"/>
        <v>732</v>
      </c>
    </row>
    <row r="226" spans="1:16" ht="60">
      <c r="A226" s="127" t="s">
        <v>318</v>
      </c>
      <c r="B226" s="223" t="s">
        <v>426</v>
      </c>
      <c r="C226" s="224">
        <v>9981</v>
      </c>
      <c r="D226" s="1">
        <v>3316</v>
      </c>
      <c r="E226" s="39"/>
      <c r="F226" s="39"/>
      <c r="G226" s="1"/>
      <c r="H226" s="86"/>
      <c r="I226" s="86"/>
      <c r="J226" s="86"/>
      <c r="K226" s="61"/>
      <c r="L226" s="61"/>
      <c r="M226" s="61"/>
      <c r="N226" s="61"/>
      <c r="O226" s="62"/>
      <c r="P226" s="126">
        <f t="shared" si="49"/>
        <v>3316</v>
      </c>
    </row>
    <row r="227" spans="1:16" ht="30">
      <c r="A227" s="158" t="s">
        <v>319</v>
      </c>
      <c r="B227" s="225" t="s">
        <v>320</v>
      </c>
      <c r="C227" s="226">
        <v>19642</v>
      </c>
      <c r="D227" s="1">
        <v>7288</v>
      </c>
      <c r="E227" s="39"/>
      <c r="F227" s="39"/>
      <c r="G227" s="1"/>
      <c r="H227" s="46"/>
      <c r="I227" s="86"/>
      <c r="J227" s="86"/>
      <c r="K227" s="61"/>
      <c r="L227" s="61"/>
      <c r="M227" s="61"/>
      <c r="N227" s="61"/>
      <c r="O227" s="62"/>
      <c r="P227" s="126">
        <f t="shared" si="49"/>
        <v>7288</v>
      </c>
    </row>
    <row r="228" spans="1:16" ht="30">
      <c r="A228" s="127" t="s">
        <v>321</v>
      </c>
      <c r="B228" s="167" t="s">
        <v>322</v>
      </c>
      <c r="C228" s="226">
        <v>1327465</v>
      </c>
      <c r="D228" s="1">
        <v>2800000</v>
      </c>
      <c r="E228" s="1"/>
      <c r="F228" s="1"/>
      <c r="G228" s="1"/>
      <c r="H228" s="86"/>
      <c r="I228" s="51"/>
      <c r="J228" s="51"/>
      <c r="K228" s="52"/>
      <c r="L228" s="52"/>
      <c r="M228" s="52"/>
      <c r="N228" s="52"/>
      <c r="O228" s="53"/>
      <c r="P228" s="126">
        <f t="shared" si="49"/>
        <v>2800000</v>
      </c>
    </row>
    <row r="229" spans="1:16" ht="45">
      <c r="A229" s="158" t="s">
        <v>337</v>
      </c>
      <c r="B229" s="223" t="s">
        <v>427</v>
      </c>
      <c r="C229" s="224">
        <v>8414</v>
      </c>
      <c r="D229" s="1"/>
      <c r="E229" s="1"/>
      <c r="F229" s="1"/>
      <c r="G229" s="1"/>
      <c r="H229" s="86"/>
      <c r="I229" s="51"/>
      <c r="J229" s="51"/>
      <c r="K229" s="52"/>
      <c r="L229" s="52"/>
      <c r="M229" s="52"/>
      <c r="N229" s="52"/>
      <c r="O229" s="53"/>
      <c r="P229" s="126">
        <f t="shared" si="49"/>
        <v>0</v>
      </c>
    </row>
    <row r="230" spans="1:16" ht="60">
      <c r="A230" s="127" t="s">
        <v>338</v>
      </c>
      <c r="B230" s="167" t="s">
        <v>428</v>
      </c>
      <c r="C230" s="226">
        <v>13616</v>
      </c>
      <c r="D230" s="1">
        <v>5675</v>
      </c>
      <c r="E230" s="1"/>
      <c r="F230" s="1"/>
      <c r="G230" s="1"/>
      <c r="H230" s="86"/>
      <c r="I230" s="86"/>
      <c r="J230" s="86"/>
      <c r="K230" s="61"/>
      <c r="L230" s="61"/>
      <c r="M230" s="61"/>
      <c r="N230" s="61"/>
      <c r="O230" s="176"/>
      <c r="P230" s="126">
        <f t="shared" si="49"/>
        <v>5675</v>
      </c>
    </row>
    <row r="231" spans="1:16" ht="30">
      <c r="A231" s="127" t="s">
        <v>429</v>
      </c>
      <c r="B231" s="145" t="s">
        <v>430</v>
      </c>
      <c r="C231" s="227">
        <v>3033</v>
      </c>
      <c r="D231" s="1"/>
      <c r="E231" s="1"/>
      <c r="F231" s="1"/>
      <c r="G231" s="1"/>
      <c r="H231" s="86"/>
      <c r="I231" s="190"/>
      <c r="J231" s="190"/>
      <c r="K231" s="62"/>
      <c r="L231" s="62"/>
      <c r="M231" s="62"/>
      <c r="N231" s="62"/>
      <c r="O231" s="62"/>
      <c r="P231" s="126">
        <f t="shared" si="49"/>
        <v>0</v>
      </c>
    </row>
    <row r="232" spans="1:16" ht="45">
      <c r="A232" s="228" t="s">
        <v>431</v>
      </c>
      <c r="B232" s="167" t="s">
        <v>432</v>
      </c>
      <c r="C232" s="166">
        <v>9432</v>
      </c>
      <c r="D232" s="39">
        <v>1419</v>
      </c>
      <c r="E232" s="39"/>
      <c r="F232" s="39"/>
      <c r="G232" s="39"/>
      <c r="H232" s="86"/>
      <c r="I232" s="86"/>
      <c r="J232" s="86"/>
      <c r="K232" s="61"/>
      <c r="L232" s="61"/>
      <c r="M232" s="61"/>
      <c r="N232" s="61"/>
      <c r="O232" s="62"/>
      <c r="P232" s="126">
        <f t="shared" si="49"/>
        <v>1419</v>
      </c>
    </row>
    <row r="233" spans="1:16" ht="60">
      <c r="A233" s="228" t="s">
        <v>433</v>
      </c>
      <c r="B233" s="167" t="s">
        <v>434</v>
      </c>
      <c r="C233" s="166">
        <v>16684</v>
      </c>
      <c r="D233" s="39">
        <v>34906</v>
      </c>
      <c r="E233" s="39"/>
      <c r="F233" s="39"/>
      <c r="G233" s="39"/>
      <c r="H233" s="86"/>
      <c r="I233" s="86"/>
      <c r="J233" s="86"/>
      <c r="K233" s="61"/>
      <c r="L233" s="61"/>
      <c r="M233" s="61"/>
      <c r="N233" s="61"/>
      <c r="O233" s="62"/>
      <c r="P233" s="126">
        <f t="shared" si="49"/>
        <v>34906</v>
      </c>
    </row>
    <row r="234" spans="1:16" ht="60">
      <c r="A234" s="228" t="s">
        <v>435</v>
      </c>
      <c r="B234" s="167" t="s">
        <v>436</v>
      </c>
      <c r="C234" s="166">
        <v>3123</v>
      </c>
      <c r="D234" s="39">
        <v>10678</v>
      </c>
      <c r="E234" s="39"/>
      <c r="F234" s="39"/>
      <c r="G234" s="39"/>
      <c r="H234" s="86"/>
      <c r="I234" s="86"/>
      <c r="J234" s="86"/>
      <c r="K234" s="61"/>
      <c r="L234" s="61"/>
      <c r="M234" s="61"/>
      <c r="N234" s="61"/>
      <c r="O234" s="62"/>
      <c r="P234" s="126">
        <f t="shared" si="49"/>
        <v>10678</v>
      </c>
    </row>
    <row r="235" spans="1:16" ht="45">
      <c r="A235" s="228" t="s">
        <v>437</v>
      </c>
      <c r="B235" s="167" t="s">
        <v>438</v>
      </c>
      <c r="C235" s="166">
        <v>1347</v>
      </c>
      <c r="D235" s="39">
        <v>12702</v>
      </c>
      <c r="E235" s="39"/>
      <c r="F235" s="39"/>
      <c r="G235" s="39"/>
      <c r="H235" s="86"/>
      <c r="I235" s="86"/>
      <c r="J235" s="86"/>
      <c r="K235" s="61"/>
      <c r="L235" s="61"/>
      <c r="M235" s="61"/>
      <c r="N235" s="61"/>
      <c r="O235" s="62"/>
      <c r="P235" s="126">
        <f t="shared" si="49"/>
        <v>12702</v>
      </c>
    </row>
    <row r="236" spans="1:16" ht="30">
      <c r="A236" s="228" t="s">
        <v>439</v>
      </c>
      <c r="B236" s="229" t="s">
        <v>440</v>
      </c>
      <c r="C236" s="230">
        <v>27943</v>
      </c>
      <c r="D236" s="39">
        <v>108874</v>
      </c>
      <c r="E236" s="39"/>
      <c r="F236" s="39"/>
      <c r="G236" s="39"/>
      <c r="H236" s="86"/>
      <c r="I236" s="86"/>
      <c r="J236" s="86"/>
      <c r="K236" s="61"/>
      <c r="L236" s="61"/>
      <c r="M236" s="61"/>
      <c r="N236" s="61"/>
      <c r="O236" s="62"/>
      <c r="P236" s="126">
        <f t="shared" si="49"/>
        <v>108874</v>
      </c>
    </row>
    <row r="237" spans="1:16" ht="30">
      <c r="A237" s="228" t="s">
        <v>481</v>
      </c>
      <c r="B237" s="229" t="s">
        <v>482</v>
      </c>
      <c r="C237" s="230">
        <v>1309</v>
      </c>
      <c r="D237" s="39">
        <v>4000</v>
      </c>
      <c r="E237" s="39"/>
      <c r="F237" s="1"/>
      <c r="G237" s="1"/>
      <c r="H237" s="86"/>
      <c r="I237" s="190"/>
      <c r="J237" s="190"/>
      <c r="K237" s="62"/>
      <c r="L237" s="62"/>
      <c r="M237" s="62"/>
      <c r="N237" s="62"/>
      <c r="O237" s="176"/>
      <c r="P237" s="126">
        <f t="shared" si="49"/>
        <v>4000</v>
      </c>
    </row>
    <row r="238" spans="1:16" ht="44.25" customHeight="1" thickBot="1">
      <c r="A238" s="228" t="s">
        <v>441</v>
      </c>
      <c r="B238" s="231" t="s">
        <v>442</v>
      </c>
      <c r="C238" s="232">
        <v>1971</v>
      </c>
      <c r="D238" s="74">
        <v>5875</v>
      </c>
      <c r="E238" s="74"/>
      <c r="F238" s="66"/>
      <c r="G238" s="66"/>
      <c r="H238" s="212"/>
      <c r="I238" s="194"/>
      <c r="J238" s="194"/>
      <c r="K238" s="195"/>
      <c r="L238" s="195"/>
      <c r="M238" s="195"/>
      <c r="N238" s="195"/>
      <c r="O238" s="195"/>
      <c r="P238" s="126">
        <f t="shared" si="49"/>
        <v>5875</v>
      </c>
    </row>
    <row r="239" spans="1:16" ht="15.75" thickBot="1">
      <c r="A239" s="144" t="s">
        <v>8</v>
      </c>
      <c r="B239" s="220" t="s">
        <v>105</v>
      </c>
      <c r="C239" s="221">
        <f>SUM(C240+C241+C242+C243)</f>
        <v>3070479</v>
      </c>
      <c r="D239" s="221">
        <f>SUM(D240+D241+D242+D243)</f>
        <v>3170653</v>
      </c>
      <c r="E239" s="221">
        <f aca="true" t="shared" si="50" ref="E239:N239">SUM(E240+E241+E242+E243)</f>
        <v>13620</v>
      </c>
      <c r="F239" s="8">
        <f t="shared" si="50"/>
        <v>0</v>
      </c>
      <c r="G239" s="8">
        <f t="shared" si="50"/>
        <v>0</v>
      </c>
      <c r="H239" s="30">
        <f t="shared" si="50"/>
        <v>83969</v>
      </c>
      <c r="I239" s="8">
        <f t="shared" si="50"/>
        <v>306833</v>
      </c>
      <c r="J239" s="8">
        <f t="shared" si="50"/>
        <v>40604</v>
      </c>
      <c r="K239" s="8">
        <f t="shared" si="50"/>
        <v>676701</v>
      </c>
      <c r="L239" s="8">
        <f t="shared" si="50"/>
        <v>29773</v>
      </c>
      <c r="M239" s="8">
        <f t="shared" si="50"/>
        <v>24486</v>
      </c>
      <c r="N239" s="8">
        <f t="shared" si="50"/>
        <v>23960</v>
      </c>
      <c r="O239" s="8">
        <f>SUM(O240+O241+O242+O243)</f>
        <v>41294</v>
      </c>
      <c r="P239" s="31">
        <f t="shared" si="49"/>
        <v>4411893</v>
      </c>
    </row>
    <row r="240" spans="1:16" ht="16.5" customHeight="1">
      <c r="A240" s="125" t="s">
        <v>483</v>
      </c>
      <c r="B240" s="55" t="s">
        <v>188</v>
      </c>
      <c r="C240" s="233">
        <v>155024</v>
      </c>
      <c r="D240" s="57">
        <v>90533</v>
      </c>
      <c r="E240" s="56"/>
      <c r="F240" s="56"/>
      <c r="G240" s="57"/>
      <c r="H240" s="234">
        <v>800</v>
      </c>
      <c r="I240" s="235"/>
      <c r="J240" s="234"/>
      <c r="K240" s="236">
        <v>81201</v>
      </c>
      <c r="L240" s="236"/>
      <c r="M240" s="236"/>
      <c r="N240" s="236"/>
      <c r="O240" s="237"/>
      <c r="P240" s="124">
        <f t="shared" si="49"/>
        <v>172534</v>
      </c>
    </row>
    <row r="241" spans="1:16" ht="15">
      <c r="A241" s="118" t="s">
        <v>484</v>
      </c>
      <c r="B241" s="119" t="s">
        <v>162</v>
      </c>
      <c r="C241" s="120">
        <v>22054</v>
      </c>
      <c r="D241" s="121">
        <v>20356</v>
      </c>
      <c r="E241" s="121"/>
      <c r="F241" s="121"/>
      <c r="G241" s="121"/>
      <c r="H241" s="78">
        <v>1800</v>
      </c>
      <c r="I241" s="78">
        <v>1800</v>
      </c>
      <c r="J241" s="78">
        <v>1800</v>
      </c>
      <c r="K241" s="78">
        <v>1800</v>
      </c>
      <c r="L241" s="82">
        <v>1800</v>
      </c>
      <c r="M241" s="238">
        <v>1800</v>
      </c>
      <c r="N241" s="121">
        <v>1800</v>
      </c>
      <c r="O241" s="121">
        <v>1800</v>
      </c>
      <c r="P241" s="54">
        <f t="shared" si="49"/>
        <v>34756</v>
      </c>
    </row>
    <row r="242" spans="1:16" ht="15">
      <c r="A242" s="118" t="s">
        <v>106</v>
      </c>
      <c r="B242" s="119" t="s">
        <v>107</v>
      </c>
      <c r="C242" s="120"/>
      <c r="D242" s="121"/>
      <c r="E242" s="34"/>
      <c r="F242" s="34"/>
      <c r="G242" s="35"/>
      <c r="H242" s="79"/>
      <c r="I242" s="79"/>
      <c r="J242" s="79"/>
      <c r="K242" s="59"/>
      <c r="L242" s="59"/>
      <c r="M242" s="59"/>
      <c r="N242" s="59"/>
      <c r="O242" s="60"/>
      <c r="P242" s="126">
        <f t="shared" si="49"/>
        <v>0</v>
      </c>
    </row>
    <row r="243" spans="1:16" ht="29.25">
      <c r="A243" s="125" t="s">
        <v>108</v>
      </c>
      <c r="B243" s="81" t="s">
        <v>109</v>
      </c>
      <c r="C243" s="6">
        <f>SUM(C244:C252)</f>
        <v>2893401</v>
      </c>
      <c r="D243" s="6">
        <f>SUM(D244:D252)</f>
        <v>3059764</v>
      </c>
      <c r="E243" s="6">
        <f aca="true" t="shared" si="51" ref="E243:O243">SUM(E244:E252)</f>
        <v>13620</v>
      </c>
      <c r="F243" s="6">
        <f t="shared" si="51"/>
        <v>0</v>
      </c>
      <c r="G243" s="6">
        <f t="shared" si="51"/>
        <v>0</v>
      </c>
      <c r="H243" s="82">
        <f t="shared" si="51"/>
        <v>81369</v>
      </c>
      <c r="I243" s="6">
        <f t="shared" si="51"/>
        <v>305033</v>
      </c>
      <c r="J243" s="6">
        <f>SUM(J244:J252)</f>
        <v>38804</v>
      </c>
      <c r="K243" s="6">
        <f t="shared" si="51"/>
        <v>593700</v>
      </c>
      <c r="L243" s="6">
        <f t="shared" si="51"/>
        <v>27973</v>
      </c>
      <c r="M243" s="6">
        <f t="shared" si="51"/>
        <v>22686</v>
      </c>
      <c r="N243" s="6">
        <f t="shared" si="51"/>
        <v>22160</v>
      </c>
      <c r="O243" s="6">
        <f t="shared" si="51"/>
        <v>39494</v>
      </c>
      <c r="P243" s="126">
        <f t="shared" si="49"/>
        <v>4204603</v>
      </c>
    </row>
    <row r="244" spans="1:16" ht="15">
      <c r="A244" s="127" t="s">
        <v>265</v>
      </c>
      <c r="B244" s="38" t="s">
        <v>110</v>
      </c>
      <c r="C244" s="7">
        <v>856750</v>
      </c>
      <c r="D244" s="1">
        <v>901561</v>
      </c>
      <c r="E244" s="39">
        <v>13620</v>
      </c>
      <c r="F244" s="39"/>
      <c r="G244" s="1"/>
      <c r="H244" s="46">
        <v>990</v>
      </c>
      <c r="I244" s="46"/>
      <c r="J244" s="46">
        <v>650</v>
      </c>
      <c r="K244" s="61">
        <v>2553</v>
      </c>
      <c r="L244" s="61">
        <v>300</v>
      </c>
      <c r="M244" s="61">
        <v>1100</v>
      </c>
      <c r="N244" s="61">
        <v>2860</v>
      </c>
      <c r="O244" s="62">
        <v>800</v>
      </c>
      <c r="P244" s="126">
        <f t="shared" si="49"/>
        <v>924434</v>
      </c>
    </row>
    <row r="245" spans="1:16" ht="15">
      <c r="A245" s="127" t="s">
        <v>266</v>
      </c>
      <c r="B245" s="38" t="s">
        <v>119</v>
      </c>
      <c r="C245" s="7">
        <v>1110493</v>
      </c>
      <c r="D245" s="1">
        <v>1071460</v>
      </c>
      <c r="E245" s="39"/>
      <c r="F245" s="39"/>
      <c r="G245" s="1"/>
      <c r="H245" s="46">
        <v>80379</v>
      </c>
      <c r="I245" s="46">
        <v>44251</v>
      </c>
      <c r="J245" s="46">
        <v>37604</v>
      </c>
      <c r="K245" s="61">
        <v>47686</v>
      </c>
      <c r="L245" s="61">
        <v>27673</v>
      </c>
      <c r="M245" s="61">
        <v>21586</v>
      </c>
      <c r="N245" s="61">
        <v>19300</v>
      </c>
      <c r="O245" s="62">
        <v>38694</v>
      </c>
      <c r="P245" s="126">
        <f t="shared" si="49"/>
        <v>1388633</v>
      </c>
    </row>
    <row r="246" spans="1:16" ht="15">
      <c r="A246" s="127" t="s">
        <v>335</v>
      </c>
      <c r="B246" s="38" t="s">
        <v>336</v>
      </c>
      <c r="C246" s="7">
        <v>155173</v>
      </c>
      <c r="D246" s="1">
        <v>184617</v>
      </c>
      <c r="E246" s="39"/>
      <c r="F246" s="39"/>
      <c r="G246" s="1"/>
      <c r="H246" s="46"/>
      <c r="I246" s="46"/>
      <c r="J246" s="46"/>
      <c r="K246" s="61"/>
      <c r="L246" s="61"/>
      <c r="M246" s="61"/>
      <c r="N246" s="61"/>
      <c r="O246" s="62"/>
      <c r="P246" s="126">
        <f t="shared" si="49"/>
        <v>184617</v>
      </c>
    </row>
    <row r="247" spans="1:16" ht="15">
      <c r="A247" s="127" t="s">
        <v>267</v>
      </c>
      <c r="B247" s="38" t="s">
        <v>164</v>
      </c>
      <c r="C247" s="7">
        <v>216926</v>
      </c>
      <c r="D247" s="1"/>
      <c r="E247" s="39"/>
      <c r="F247" s="39"/>
      <c r="G247" s="1"/>
      <c r="H247" s="46"/>
      <c r="I247" s="46">
        <v>260782</v>
      </c>
      <c r="J247" s="46"/>
      <c r="K247" s="61"/>
      <c r="L247" s="61"/>
      <c r="M247" s="61"/>
      <c r="N247" s="61"/>
      <c r="O247" s="62"/>
      <c r="P247" s="126">
        <f t="shared" si="49"/>
        <v>260782</v>
      </c>
    </row>
    <row r="248" spans="1:16" ht="15">
      <c r="A248" s="127" t="s">
        <v>268</v>
      </c>
      <c r="B248" s="38" t="s">
        <v>165</v>
      </c>
      <c r="C248" s="170">
        <v>503227</v>
      </c>
      <c r="D248" s="1"/>
      <c r="E248" s="39"/>
      <c r="F248" s="39"/>
      <c r="G248" s="1"/>
      <c r="H248" s="46"/>
      <c r="I248" s="46"/>
      <c r="J248" s="46"/>
      <c r="K248" s="61">
        <v>539228</v>
      </c>
      <c r="L248" s="61"/>
      <c r="M248" s="61"/>
      <c r="N248" s="61"/>
      <c r="O248" s="62"/>
      <c r="P248" s="126">
        <f t="shared" si="49"/>
        <v>539228</v>
      </c>
    </row>
    <row r="249" spans="1:16" ht="30">
      <c r="A249" s="127" t="s">
        <v>269</v>
      </c>
      <c r="B249" s="160" t="s">
        <v>443</v>
      </c>
      <c r="C249" s="170">
        <v>19337</v>
      </c>
      <c r="D249" s="1">
        <v>42444</v>
      </c>
      <c r="E249" s="39"/>
      <c r="F249" s="39"/>
      <c r="G249" s="1"/>
      <c r="H249" s="46"/>
      <c r="I249" s="46"/>
      <c r="J249" s="46"/>
      <c r="K249" s="62"/>
      <c r="L249" s="62"/>
      <c r="M249" s="62"/>
      <c r="N249" s="62"/>
      <c r="O249" s="62"/>
      <c r="P249" s="126">
        <f t="shared" si="49"/>
        <v>42444</v>
      </c>
    </row>
    <row r="250" spans="1:16" ht="15">
      <c r="A250" s="127" t="s">
        <v>270</v>
      </c>
      <c r="B250" s="38" t="s">
        <v>163</v>
      </c>
      <c r="C250" s="170">
        <v>28750</v>
      </c>
      <c r="D250" s="1">
        <v>26682</v>
      </c>
      <c r="E250" s="39"/>
      <c r="F250" s="39"/>
      <c r="G250" s="1"/>
      <c r="H250" s="86"/>
      <c r="I250" s="46"/>
      <c r="J250" s="46">
        <v>550</v>
      </c>
      <c r="K250" s="62">
        <v>4233</v>
      </c>
      <c r="L250" s="62"/>
      <c r="M250" s="62"/>
      <c r="N250" s="62"/>
      <c r="O250" s="62"/>
      <c r="P250" s="126">
        <f t="shared" si="49"/>
        <v>31465</v>
      </c>
    </row>
    <row r="251" spans="1:16" ht="45">
      <c r="A251" s="127" t="s">
        <v>323</v>
      </c>
      <c r="B251" s="167" t="s">
        <v>444</v>
      </c>
      <c r="C251" s="166">
        <v>2745</v>
      </c>
      <c r="D251" s="39">
        <v>13000</v>
      </c>
      <c r="E251" s="39"/>
      <c r="F251" s="39"/>
      <c r="G251" s="39"/>
      <c r="H251" s="86"/>
      <c r="I251" s="86"/>
      <c r="J251" s="86"/>
      <c r="K251" s="61"/>
      <c r="L251" s="61"/>
      <c r="M251" s="61"/>
      <c r="N251" s="61"/>
      <c r="O251" s="176"/>
      <c r="P251" s="126">
        <f t="shared" si="49"/>
        <v>13000</v>
      </c>
    </row>
    <row r="252" spans="1:16" ht="30.75" thickBot="1">
      <c r="A252" s="158" t="s">
        <v>485</v>
      </c>
      <c r="B252" s="239" t="s">
        <v>486</v>
      </c>
      <c r="C252" s="240"/>
      <c r="D252" s="66">
        <v>820000</v>
      </c>
      <c r="E252" s="66"/>
      <c r="F252" s="66"/>
      <c r="G252" s="66"/>
      <c r="H252" s="212"/>
      <c r="I252" s="212"/>
      <c r="J252" s="212"/>
      <c r="K252" s="195"/>
      <c r="L252" s="195"/>
      <c r="M252" s="195"/>
      <c r="N252" s="195"/>
      <c r="O252" s="195"/>
      <c r="P252" s="126">
        <f t="shared" si="49"/>
        <v>820000</v>
      </c>
    </row>
    <row r="253" spans="1:16" ht="15.75" thickBot="1">
      <c r="A253" s="241"/>
      <c r="B253" s="242" t="s">
        <v>16</v>
      </c>
      <c r="C253" s="8">
        <f aca="true" t="shared" si="52" ref="C253:O253">C62+C73+C79+C105+C119+C143+C147+C185+C239</f>
        <v>55083569</v>
      </c>
      <c r="D253" s="8">
        <f t="shared" si="52"/>
        <v>49714474</v>
      </c>
      <c r="E253" s="8">
        <f t="shared" si="52"/>
        <v>12519504</v>
      </c>
      <c r="F253" s="8">
        <f t="shared" si="52"/>
        <v>1392326</v>
      </c>
      <c r="G253" s="8">
        <f t="shared" si="52"/>
        <v>356815</v>
      </c>
      <c r="H253" s="30">
        <f t="shared" si="52"/>
        <v>2014282</v>
      </c>
      <c r="I253" s="30">
        <f t="shared" si="52"/>
        <v>793463</v>
      </c>
      <c r="J253" s="30">
        <f t="shared" si="52"/>
        <v>938504</v>
      </c>
      <c r="K253" s="8">
        <f t="shared" si="52"/>
        <v>2630732</v>
      </c>
      <c r="L253" s="8">
        <f t="shared" si="52"/>
        <v>251084</v>
      </c>
      <c r="M253" s="8">
        <f t="shared" si="52"/>
        <v>289601</v>
      </c>
      <c r="N253" s="8">
        <f t="shared" si="52"/>
        <v>318430</v>
      </c>
      <c r="O253" s="8">
        <f t="shared" si="52"/>
        <v>856430</v>
      </c>
      <c r="P253" s="31">
        <f t="shared" si="49"/>
        <v>72075645</v>
      </c>
    </row>
    <row r="254" spans="1:16" ht="15">
      <c r="A254" s="104" t="s">
        <v>166</v>
      </c>
      <c r="B254" s="64" t="s">
        <v>324</v>
      </c>
      <c r="C254" s="64"/>
      <c r="D254" s="243">
        <v>1863420</v>
      </c>
      <c r="E254" s="243"/>
      <c r="F254" s="243"/>
      <c r="G254" s="243">
        <v>7444</v>
      </c>
      <c r="H254" s="243">
        <v>12638</v>
      </c>
      <c r="I254" s="243">
        <v>8645</v>
      </c>
      <c r="J254" s="243">
        <v>13356</v>
      </c>
      <c r="K254" s="243">
        <v>40004</v>
      </c>
      <c r="L254" s="12"/>
      <c r="M254" s="243">
        <v>4269</v>
      </c>
      <c r="N254" s="243">
        <v>8241</v>
      </c>
      <c r="O254" s="243">
        <v>25753</v>
      </c>
      <c r="P254" s="110">
        <f t="shared" si="49"/>
        <v>1983770</v>
      </c>
    </row>
    <row r="255" spans="1:16" ht="15">
      <c r="A255" s="104" t="s">
        <v>293</v>
      </c>
      <c r="B255" s="64" t="s">
        <v>294</v>
      </c>
      <c r="C255" s="64"/>
      <c r="D255" s="243"/>
      <c r="E255" s="243"/>
      <c r="F255" s="243"/>
      <c r="G255" s="110"/>
      <c r="I255" s="15"/>
      <c r="J255" s="15"/>
      <c r="K255" s="15"/>
      <c r="M255" s="15"/>
      <c r="O255" s="15"/>
      <c r="P255" s="110">
        <f t="shared" si="49"/>
        <v>0</v>
      </c>
    </row>
    <row r="256" spans="1:16" ht="29.25">
      <c r="A256" s="104" t="s">
        <v>468</v>
      </c>
      <c r="B256" s="244" t="s">
        <v>467</v>
      </c>
      <c r="C256" s="244"/>
      <c r="D256" s="243">
        <v>60000</v>
      </c>
      <c r="E256" s="243"/>
      <c r="F256" s="243"/>
      <c r="G256" s="110"/>
      <c r="I256" s="15"/>
      <c r="J256" s="15"/>
      <c r="K256" s="15"/>
      <c r="M256" s="15"/>
      <c r="O256" s="15"/>
      <c r="P256" s="110">
        <f t="shared" si="49"/>
        <v>60000</v>
      </c>
    </row>
    <row r="257" spans="2:16" ht="15">
      <c r="B257" s="10"/>
      <c r="C257" s="10"/>
      <c r="E257" s="12"/>
      <c r="F257" s="12"/>
      <c r="G257" s="245"/>
      <c r="P257" s="110"/>
    </row>
    <row r="258" spans="1:16" ht="30">
      <c r="A258" s="246" t="s">
        <v>297</v>
      </c>
      <c r="B258" s="247" t="s">
        <v>325</v>
      </c>
      <c r="C258" s="247"/>
      <c r="D258" s="12">
        <f>940000-51048</f>
        <v>888952</v>
      </c>
      <c r="E258" s="12">
        <v>1143781</v>
      </c>
      <c r="F258" s="12"/>
      <c r="G258" s="245">
        <v>35099</v>
      </c>
      <c r="H258" s="10">
        <v>43544</v>
      </c>
      <c r="I258" s="10">
        <v>14560</v>
      </c>
      <c r="K258" s="10">
        <v>75396</v>
      </c>
      <c r="O258" s="10">
        <v>25424</v>
      </c>
      <c r="P258" s="110">
        <f>SUM(D258:O258)</f>
        <v>2226756</v>
      </c>
    </row>
    <row r="259" spans="1:16" ht="30">
      <c r="A259" s="248" t="s">
        <v>272</v>
      </c>
      <c r="B259" s="249" t="s">
        <v>199</v>
      </c>
      <c r="C259" s="249"/>
      <c r="D259" s="110">
        <f>D48-D253-D254-D255-D256-D258</f>
        <v>9517358</v>
      </c>
      <c r="E259" s="110">
        <f aca="true" t="shared" si="53" ref="E259:O259">E48-E253-E254-E255-E258</f>
        <v>-2368704</v>
      </c>
      <c r="F259" s="110">
        <f t="shared" si="53"/>
        <v>-1116889</v>
      </c>
      <c r="G259" s="110">
        <f t="shared" si="53"/>
        <v>-115700</v>
      </c>
      <c r="H259" s="110">
        <f t="shared" si="53"/>
        <v>-1699637</v>
      </c>
      <c r="I259" s="110">
        <f t="shared" si="53"/>
        <v>-459418</v>
      </c>
      <c r="J259" s="110">
        <f t="shared" si="53"/>
        <v>-642081</v>
      </c>
      <c r="K259" s="110">
        <f t="shared" si="53"/>
        <v>-1735780</v>
      </c>
      <c r="L259" s="110">
        <f t="shared" si="53"/>
        <v>-152629</v>
      </c>
      <c r="M259" s="110">
        <f t="shared" si="53"/>
        <v>-216766</v>
      </c>
      <c r="N259" s="110">
        <f t="shared" si="53"/>
        <v>-247430</v>
      </c>
      <c r="O259" s="110">
        <f t="shared" si="53"/>
        <v>-762324</v>
      </c>
      <c r="P259" s="110">
        <f>SUM(D259:O259)</f>
        <v>0</v>
      </c>
    </row>
    <row r="260" spans="2:16" ht="15">
      <c r="B260" s="250"/>
      <c r="C260" s="250"/>
      <c r="D260" s="110"/>
      <c r="E260" s="110"/>
      <c r="F260" s="110"/>
      <c r="G260" s="110"/>
      <c r="H260" s="251"/>
      <c r="I260" s="252"/>
      <c r="J260" s="251"/>
      <c r="K260" s="252"/>
      <c r="L260" s="251"/>
      <c r="M260" s="251"/>
      <c r="N260" s="251"/>
      <c r="O260" s="251"/>
      <c r="P260" s="251"/>
    </row>
    <row r="261" spans="2:18" ht="15">
      <c r="B261" s="253"/>
      <c r="C261" s="250"/>
      <c r="D261" s="110"/>
      <c r="E261" s="110"/>
      <c r="F261" s="110"/>
      <c r="G261" s="110"/>
      <c r="H261" s="251"/>
      <c r="I261" s="252"/>
      <c r="J261" s="251"/>
      <c r="K261" s="252"/>
      <c r="L261" s="251"/>
      <c r="M261" s="251"/>
      <c r="N261" s="251"/>
      <c r="O261" s="251"/>
      <c r="P261" s="251"/>
      <c r="Q261" s="254"/>
      <c r="R261" s="254"/>
    </row>
    <row r="262" spans="2:18" s="254" customFormat="1" ht="15">
      <c r="B262" s="255"/>
      <c r="C262" s="255"/>
      <c r="D262" s="256"/>
      <c r="E262" s="256"/>
      <c r="F262" s="256"/>
      <c r="G262" s="256"/>
      <c r="H262" s="256"/>
      <c r="I262" s="256"/>
      <c r="J262" s="256"/>
      <c r="K262" s="256"/>
      <c r="L262" s="256"/>
      <c r="M262" s="256"/>
      <c r="N262" s="256"/>
      <c r="O262" s="256"/>
      <c r="P262" s="257"/>
      <c r="Q262" s="10"/>
      <c r="R262" s="10"/>
    </row>
    <row r="263" spans="2:16" ht="15">
      <c r="B263" s="113" t="s">
        <v>295</v>
      </c>
      <c r="C263" s="113"/>
      <c r="E263" s="13" t="s">
        <v>17</v>
      </c>
      <c r="P263" s="258">
        <f>P259-P33</f>
        <v>0</v>
      </c>
    </row>
    <row r="264" spans="1:16" ht="15">
      <c r="A264" s="19"/>
      <c r="B264" s="116"/>
      <c r="C264" s="116"/>
      <c r="D264" s="110"/>
      <c r="E264" s="110"/>
      <c r="F264" s="110"/>
      <c r="G264" s="110"/>
      <c r="H264" s="259"/>
      <c r="I264" s="245"/>
      <c r="J264" s="245"/>
      <c r="K264" s="245"/>
      <c r="L264" s="245"/>
      <c r="M264" s="245"/>
      <c r="N264" s="245"/>
      <c r="O264" s="245"/>
      <c r="P264" s="245"/>
    </row>
    <row r="265" spans="2:16" ht="15">
      <c r="B265" s="113"/>
      <c r="C265" s="113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7" ht="44.25" customHeight="1" thickBot="1">
      <c r="A266" s="542" t="s">
        <v>503</v>
      </c>
      <c r="B266" s="542"/>
      <c r="C266" s="542"/>
      <c r="D266" s="542"/>
      <c r="E266" s="542"/>
      <c r="F266" s="12"/>
      <c r="G266" s="12"/>
    </row>
    <row r="267" spans="1:16" ht="105.75" customHeight="1" thickBot="1">
      <c r="A267" s="20" t="s">
        <v>1</v>
      </c>
      <c r="B267" s="21" t="s">
        <v>144</v>
      </c>
      <c r="C267" s="22" t="s">
        <v>472</v>
      </c>
      <c r="D267" s="23" t="s">
        <v>446</v>
      </c>
      <c r="E267" s="24" t="s">
        <v>447</v>
      </c>
      <c r="F267" s="22" t="s">
        <v>448</v>
      </c>
      <c r="G267" s="22" t="s">
        <v>449</v>
      </c>
      <c r="H267" s="25" t="s">
        <v>450</v>
      </c>
      <c r="I267" s="25" t="s">
        <v>451</v>
      </c>
      <c r="J267" s="25" t="s">
        <v>452</v>
      </c>
      <c r="K267" s="25" t="s">
        <v>453</v>
      </c>
      <c r="L267" s="25" t="s">
        <v>454</v>
      </c>
      <c r="M267" s="25" t="s">
        <v>455</v>
      </c>
      <c r="N267" s="25" t="s">
        <v>456</v>
      </c>
      <c r="O267" s="26" t="s">
        <v>457</v>
      </c>
      <c r="P267" s="27" t="s">
        <v>458</v>
      </c>
    </row>
    <row r="268" spans="1:16" ht="15">
      <c r="A268" s="260">
        <v>1100</v>
      </c>
      <c r="B268" s="70" t="s">
        <v>195</v>
      </c>
      <c r="C268" s="261">
        <v>18522202</v>
      </c>
      <c r="D268" s="3">
        <v>10434460</v>
      </c>
      <c r="E268" s="3">
        <v>3036010</v>
      </c>
      <c r="F268" s="3">
        <v>643732</v>
      </c>
      <c r="G268" s="3">
        <v>68878</v>
      </c>
      <c r="H268" s="262">
        <f>745593+241620</f>
        <v>987213</v>
      </c>
      <c r="I268" s="263">
        <f>SUM('[1]Izmaksas PB pa lielajiem EKK'!$D$4)</f>
        <v>291365</v>
      </c>
      <c r="J268" s="3">
        <v>378668</v>
      </c>
      <c r="K268" s="264">
        <v>1286474</v>
      </c>
      <c r="L268" s="3">
        <v>92825</v>
      </c>
      <c r="M268" s="3">
        <v>131858</v>
      </c>
      <c r="N268" s="3">
        <v>158303</v>
      </c>
      <c r="O268" s="264">
        <v>464587</v>
      </c>
      <c r="P268" s="174">
        <f aca="true" t="shared" si="54" ref="P268:P290">SUM(D268:O268)</f>
        <v>17974373</v>
      </c>
    </row>
    <row r="269" spans="1:16" ht="45">
      <c r="A269" s="80">
        <v>1200</v>
      </c>
      <c r="B269" s="38" t="s">
        <v>197</v>
      </c>
      <c r="C269" s="265">
        <v>5190609</v>
      </c>
      <c r="D269" s="39">
        <v>3155345</v>
      </c>
      <c r="E269" s="39">
        <v>716196</v>
      </c>
      <c r="F269" s="39">
        <v>187942</v>
      </c>
      <c r="G269" s="39">
        <v>20805</v>
      </c>
      <c r="H269" s="266">
        <f>216293+75941</f>
        <v>292234</v>
      </c>
      <c r="I269" s="267">
        <f>SUM('[1]Izmaksas PB pa lielajiem EKK'!$D$5)</f>
        <v>85687</v>
      </c>
      <c r="J269" s="39">
        <v>117836</v>
      </c>
      <c r="K269" s="5">
        <v>385560</v>
      </c>
      <c r="L269" s="39">
        <v>26062</v>
      </c>
      <c r="M269" s="39">
        <v>39690</v>
      </c>
      <c r="N269" s="39">
        <v>45474</v>
      </c>
      <c r="O269" s="5">
        <v>153472</v>
      </c>
      <c r="P269" s="126">
        <f t="shared" si="54"/>
        <v>5226303</v>
      </c>
    </row>
    <row r="270" spans="1:16" ht="15">
      <c r="A270" s="80">
        <v>2000</v>
      </c>
      <c r="B270" s="38" t="s">
        <v>133</v>
      </c>
      <c r="C270" s="39">
        <f>SUM(C271:C276)</f>
        <v>15092129</v>
      </c>
      <c r="D270" s="39">
        <f>SUM(D271:D276)</f>
        <v>6881957</v>
      </c>
      <c r="E270" s="39">
        <f>SUM(E271:E276)</f>
        <v>8174818</v>
      </c>
      <c r="F270" s="39">
        <f>SUM(F271:F276)</f>
        <v>474965</v>
      </c>
      <c r="G270" s="39">
        <f>SUM(G271:G276)</f>
        <v>260715</v>
      </c>
      <c r="H270" s="39">
        <f>SUM(H271:H276)</f>
        <v>515397</v>
      </c>
      <c r="I270" s="39">
        <f>SUM(I271:I275)</f>
        <v>353214</v>
      </c>
      <c r="J270" s="39">
        <f>SUM(J271:J276)</f>
        <v>365537</v>
      </c>
      <c r="K270" s="5">
        <f>SUM(K271:K276)</f>
        <v>801778</v>
      </c>
      <c r="L270" s="39">
        <f>SUM(L271:L276)</f>
        <v>91324</v>
      </c>
      <c r="M270" s="39">
        <f>SUM(M271:M276)</f>
        <v>65410</v>
      </c>
      <c r="N270" s="39">
        <f>SUM(N271:N276)</f>
        <v>86183</v>
      </c>
      <c r="O270" s="5">
        <f>SUM(O271:O276)</f>
        <v>177277</v>
      </c>
      <c r="P270" s="126">
        <f t="shared" si="54"/>
        <v>18248575</v>
      </c>
    </row>
    <row r="271" spans="1:16" ht="30">
      <c r="A271" s="80">
        <v>2100</v>
      </c>
      <c r="B271" s="38" t="s">
        <v>196</v>
      </c>
      <c r="C271" s="265">
        <v>67226</v>
      </c>
      <c r="D271" s="39">
        <v>53768</v>
      </c>
      <c r="E271" s="39">
        <v>2000</v>
      </c>
      <c r="F271" s="39"/>
      <c r="G271" s="39"/>
      <c r="H271" s="266">
        <v>850</v>
      </c>
      <c r="I271" s="39">
        <f>SUM('[1]Izmaksas PB pa lielajiem EKK'!$D$7)</f>
        <v>635</v>
      </c>
      <c r="J271" s="39">
        <v>170</v>
      </c>
      <c r="K271" s="5">
        <v>1016</v>
      </c>
      <c r="L271" s="39"/>
      <c r="M271" s="39">
        <v>80</v>
      </c>
      <c r="N271" s="39">
        <v>1150</v>
      </c>
      <c r="O271" s="5">
        <v>570</v>
      </c>
      <c r="P271" s="126">
        <f t="shared" si="54"/>
        <v>60239</v>
      </c>
    </row>
    <row r="272" spans="1:16" ht="15">
      <c r="A272" s="80">
        <v>2200</v>
      </c>
      <c r="B272" s="38" t="s">
        <v>134</v>
      </c>
      <c r="C272" s="265">
        <v>11168363</v>
      </c>
      <c r="D272" s="39">
        <v>5438408</v>
      </c>
      <c r="E272" s="39">
        <v>6738119</v>
      </c>
      <c r="F272" s="39">
        <v>292451</v>
      </c>
      <c r="G272" s="39">
        <v>242515</v>
      </c>
      <c r="H272" s="266">
        <f>245193+38714</f>
        <v>283907</v>
      </c>
      <c r="I272" s="39">
        <f>SUM('[1]Izmaksas PB pa lielajiem EKK'!$D$8)</f>
        <v>209354</v>
      </c>
      <c r="J272" s="39">
        <v>232586</v>
      </c>
      <c r="K272" s="5">
        <v>499599</v>
      </c>
      <c r="L272" s="39">
        <v>62613</v>
      </c>
      <c r="M272" s="39">
        <v>36169</v>
      </c>
      <c r="N272" s="39">
        <v>45063</v>
      </c>
      <c r="O272" s="5">
        <f>65906+3000+1000</f>
        <v>69906</v>
      </c>
      <c r="P272" s="126">
        <f t="shared" si="54"/>
        <v>14150690</v>
      </c>
    </row>
    <row r="273" spans="1:16" ht="30">
      <c r="A273" s="80">
        <v>2300</v>
      </c>
      <c r="B273" s="38" t="s">
        <v>135</v>
      </c>
      <c r="C273" s="265">
        <v>3311407</v>
      </c>
      <c r="D273" s="39">
        <v>1220111</v>
      </c>
      <c r="E273" s="39">
        <v>1242155</v>
      </c>
      <c r="F273" s="39">
        <v>178514</v>
      </c>
      <c r="G273" s="39">
        <v>11322</v>
      </c>
      <c r="H273" s="266">
        <f>192735+34270</f>
        <v>227005</v>
      </c>
      <c r="I273" s="39">
        <f>SUM('[1]Izmaksas PB pa lielajiem EKK'!$D$9)</f>
        <v>133325</v>
      </c>
      <c r="J273" s="39">
        <v>125661</v>
      </c>
      <c r="K273" s="5">
        <v>283796</v>
      </c>
      <c r="L273" s="39">
        <v>26141</v>
      </c>
      <c r="M273" s="39">
        <v>27341</v>
      </c>
      <c r="N273" s="39">
        <v>38570</v>
      </c>
      <c r="O273" s="5">
        <v>99128</v>
      </c>
      <c r="P273" s="126">
        <f t="shared" si="54"/>
        <v>3613069</v>
      </c>
    </row>
    <row r="274" spans="1:16" ht="15">
      <c r="A274" s="80">
        <v>2400</v>
      </c>
      <c r="B274" s="38" t="s">
        <v>167</v>
      </c>
      <c r="C274" s="265">
        <v>12782</v>
      </c>
      <c r="D274" s="39">
        <v>5270</v>
      </c>
      <c r="E274" s="39"/>
      <c r="F274" s="39"/>
      <c r="G274" s="39"/>
      <c r="H274" s="266">
        <f>2035+100</f>
        <v>2135</v>
      </c>
      <c r="I274" s="39">
        <f>SUM('[1]Izmaksas PB pa lielajiem EKK'!$D$10)</f>
        <v>950</v>
      </c>
      <c r="J274" s="39">
        <v>500</v>
      </c>
      <c r="K274" s="5">
        <v>1550</v>
      </c>
      <c r="L274" s="39">
        <v>820</v>
      </c>
      <c r="M274" s="39">
        <v>550</v>
      </c>
      <c r="N274" s="39">
        <v>900</v>
      </c>
      <c r="O274" s="5">
        <v>2580</v>
      </c>
      <c r="P274" s="126">
        <f t="shared" si="54"/>
        <v>15255</v>
      </c>
    </row>
    <row r="275" spans="1:16" ht="15">
      <c r="A275" s="80">
        <v>2500</v>
      </c>
      <c r="B275" s="38" t="s">
        <v>136</v>
      </c>
      <c r="C275" s="265">
        <v>420436</v>
      </c>
      <c r="D275" s="39">
        <v>37000</v>
      </c>
      <c r="E275" s="39">
        <v>192544</v>
      </c>
      <c r="F275" s="39">
        <v>4000</v>
      </c>
      <c r="G275" s="39">
        <v>6878</v>
      </c>
      <c r="H275" s="266">
        <v>1500</v>
      </c>
      <c r="I275" s="39">
        <f>SUM('[1]Izmaksas PB pa lielajiem EKK'!$D$11)</f>
        <v>8950</v>
      </c>
      <c r="J275" s="39">
        <v>6620</v>
      </c>
      <c r="K275" s="5">
        <v>15817</v>
      </c>
      <c r="L275" s="39">
        <v>1750</v>
      </c>
      <c r="M275" s="39">
        <v>1270</v>
      </c>
      <c r="N275" s="39">
        <v>500</v>
      </c>
      <c r="O275" s="5">
        <v>5093</v>
      </c>
      <c r="P275" s="126">
        <f t="shared" si="54"/>
        <v>281922</v>
      </c>
    </row>
    <row r="276" spans="1:16" ht="45">
      <c r="A276" s="80">
        <v>2800</v>
      </c>
      <c r="B276" s="38" t="s">
        <v>284</v>
      </c>
      <c r="C276" s="265">
        <v>111915</v>
      </c>
      <c r="D276" s="39">
        <v>127400</v>
      </c>
      <c r="E276" s="39"/>
      <c r="F276" s="39"/>
      <c r="G276" s="39"/>
      <c r="H276" s="266"/>
      <c r="I276" s="39"/>
      <c r="J276" s="39"/>
      <c r="K276" s="5"/>
      <c r="L276" s="39"/>
      <c r="M276" s="39"/>
      <c r="N276" s="39"/>
      <c r="O276" s="5"/>
      <c r="P276" s="126">
        <f t="shared" si="54"/>
        <v>127400</v>
      </c>
    </row>
    <row r="277" spans="1:16" ht="30">
      <c r="A277" s="80">
        <v>3200</v>
      </c>
      <c r="B277" s="38" t="s">
        <v>198</v>
      </c>
      <c r="C277" s="265">
        <v>250924</v>
      </c>
      <c r="D277" s="39">
        <v>128338</v>
      </c>
      <c r="E277" s="39"/>
      <c r="F277" s="39"/>
      <c r="G277" s="39"/>
      <c r="H277" s="266"/>
      <c r="I277" s="39"/>
      <c r="J277" s="39"/>
      <c r="K277" s="5"/>
      <c r="L277" s="39"/>
      <c r="M277" s="39"/>
      <c r="N277" s="39"/>
      <c r="O277" s="5"/>
      <c r="P277" s="126">
        <f t="shared" si="54"/>
        <v>128338</v>
      </c>
    </row>
    <row r="278" spans="1:16" ht="15">
      <c r="A278" s="80">
        <v>4200</v>
      </c>
      <c r="B278" s="38" t="s">
        <v>137</v>
      </c>
      <c r="C278" s="265"/>
      <c r="D278" s="39"/>
      <c r="E278" s="39"/>
      <c r="F278" s="39"/>
      <c r="G278" s="39"/>
      <c r="H278" s="266"/>
      <c r="I278" s="39"/>
      <c r="J278" s="39"/>
      <c r="K278" s="5"/>
      <c r="L278" s="39"/>
      <c r="M278" s="39"/>
      <c r="N278" s="39"/>
      <c r="O278" s="5"/>
      <c r="P278" s="126">
        <f t="shared" si="54"/>
        <v>0</v>
      </c>
    </row>
    <row r="279" spans="1:16" ht="15">
      <c r="A279" s="80">
        <v>4300</v>
      </c>
      <c r="B279" s="38" t="s">
        <v>138</v>
      </c>
      <c r="C279" s="265">
        <v>2983</v>
      </c>
      <c r="D279" s="39">
        <v>44530</v>
      </c>
      <c r="E279" s="39"/>
      <c r="F279" s="39"/>
      <c r="G279" s="39">
        <v>102</v>
      </c>
      <c r="H279" s="266">
        <v>700</v>
      </c>
      <c r="I279" s="39">
        <f>SUM('[1]Izmaksas PB pa lielajiem EKK'!$D$14)</f>
        <v>100</v>
      </c>
      <c r="J279" s="39">
        <v>12</v>
      </c>
      <c r="K279" s="5">
        <v>207</v>
      </c>
      <c r="L279" s="39"/>
      <c r="M279" s="39">
        <v>80</v>
      </c>
      <c r="N279" s="39">
        <v>170</v>
      </c>
      <c r="O279" s="5">
        <v>100</v>
      </c>
      <c r="P279" s="126">
        <f t="shared" si="54"/>
        <v>46001</v>
      </c>
    </row>
    <row r="280" spans="1:16" ht="15">
      <c r="A280" s="80">
        <v>5100</v>
      </c>
      <c r="B280" s="38" t="s">
        <v>139</v>
      </c>
      <c r="C280" s="265">
        <v>22191</v>
      </c>
      <c r="D280" s="39">
        <v>8750</v>
      </c>
      <c r="E280" s="39"/>
      <c r="F280" s="39"/>
      <c r="G280" s="39"/>
      <c r="H280" s="266">
        <v>210</v>
      </c>
      <c r="I280" s="39">
        <f>SUM('[1]Izmaksas PB pa lielajiem EKK'!$D$15)</f>
        <v>750</v>
      </c>
      <c r="J280" s="39"/>
      <c r="K280" s="5"/>
      <c r="L280" s="39"/>
      <c r="M280" s="39"/>
      <c r="N280" s="39"/>
      <c r="O280" s="5"/>
      <c r="P280" s="126">
        <f t="shared" si="54"/>
        <v>9710</v>
      </c>
    </row>
    <row r="281" spans="1:16" ht="15">
      <c r="A281" s="80">
        <v>5200</v>
      </c>
      <c r="B281" s="38" t="s">
        <v>140</v>
      </c>
      <c r="C281" s="265">
        <v>14141670</v>
      </c>
      <c r="D281" s="39">
        <v>27219469</v>
      </c>
      <c r="E281" s="39">
        <v>592480</v>
      </c>
      <c r="F281" s="39">
        <v>85687</v>
      </c>
      <c r="G281" s="39">
        <v>6315</v>
      </c>
      <c r="H281" s="266">
        <f>30849+3700+100000</f>
        <v>134549</v>
      </c>
      <c r="I281" s="39">
        <f>SUM('[1]Izmaksas PB pa lielajiem EKK'!$D$16)</f>
        <v>10200</v>
      </c>
      <c r="J281" s="39">
        <v>16859</v>
      </c>
      <c r="K281" s="5">
        <v>92287</v>
      </c>
      <c r="L281" s="39">
        <v>7900</v>
      </c>
      <c r="M281" s="39">
        <f>11488+17289</f>
        <v>28777</v>
      </c>
      <c r="N281" s="39">
        <v>4600</v>
      </c>
      <c r="O281" s="5">
        <v>8500</v>
      </c>
      <c r="P281" s="126">
        <f t="shared" si="54"/>
        <v>28207623</v>
      </c>
    </row>
    <row r="282" spans="1:16" ht="15">
      <c r="A282" s="80">
        <v>6200</v>
      </c>
      <c r="B282" s="38" t="s">
        <v>141</v>
      </c>
      <c r="C282" s="265">
        <v>439935</v>
      </c>
      <c r="D282" s="39">
        <v>319287</v>
      </c>
      <c r="E282" s="39"/>
      <c r="F282" s="39"/>
      <c r="G282" s="39"/>
      <c r="H282" s="266">
        <f>54761+1800</f>
        <v>56561</v>
      </c>
      <c r="I282" s="39">
        <f>SUM('[1]Izmaksas PB pa lielajiem EKK'!$D$18)</f>
        <v>28016</v>
      </c>
      <c r="J282" s="39">
        <v>29126</v>
      </c>
      <c r="K282" s="5">
        <v>23480</v>
      </c>
      <c r="L282" s="39">
        <v>28184</v>
      </c>
      <c r="M282" s="39">
        <v>17545</v>
      </c>
      <c r="N282" s="39">
        <v>18970</v>
      </c>
      <c r="O282" s="5">
        <v>20308</v>
      </c>
      <c r="P282" s="126">
        <f t="shared" si="54"/>
        <v>541477</v>
      </c>
    </row>
    <row r="283" spans="1:16" ht="15">
      <c r="A283" s="80">
        <v>6300</v>
      </c>
      <c r="B283" s="38" t="s">
        <v>168</v>
      </c>
      <c r="C283" s="265">
        <v>272501</v>
      </c>
      <c r="D283" s="39">
        <v>267000</v>
      </c>
      <c r="E283" s="39"/>
      <c r="F283" s="39"/>
      <c r="G283" s="39"/>
      <c r="H283" s="266">
        <v>5000</v>
      </c>
      <c r="I283" s="39">
        <f>SUM('[1]Izmaksas PB pa lielajiem EKK'!$D$19)</f>
        <v>5500</v>
      </c>
      <c r="J283" s="39">
        <v>2460</v>
      </c>
      <c r="K283" s="5">
        <v>10300</v>
      </c>
      <c r="L283" s="39">
        <v>350</v>
      </c>
      <c r="M283" s="39">
        <v>400</v>
      </c>
      <c r="N283" s="39"/>
      <c r="O283" s="5">
        <v>6500</v>
      </c>
      <c r="P283" s="126">
        <f t="shared" si="54"/>
        <v>297510</v>
      </c>
    </row>
    <row r="284" spans="1:16" ht="30">
      <c r="A284" s="80">
        <v>6400</v>
      </c>
      <c r="B284" s="38" t="s">
        <v>275</v>
      </c>
      <c r="C284" s="265">
        <v>443455</v>
      </c>
      <c r="D284" s="39">
        <v>540338</v>
      </c>
      <c r="E284" s="39"/>
      <c r="F284" s="39"/>
      <c r="G284" s="39"/>
      <c r="H284" s="266">
        <v>20486</v>
      </c>
      <c r="I284" s="39">
        <f>SUM('[1]Izmaksas PB pa lielajiem EKK'!$D$20)</f>
        <v>10735</v>
      </c>
      <c r="J284" s="39">
        <v>7067</v>
      </c>
      <c r="K284" s="5">
        <v>16606</v>
      </c>
      <c r="L284" s="39">
        <v>939</v>
      </c>
      <c r="M284" s="39">
        <v>5841</v>
      </c>
      <c r="N284" s="39">
        <v>1950</v>
      </c>
      <c r="O284" s="5">
        <v>13686</v>
      </c>
      <c r="P284" s="126">
        <f t="shared" si="54"/>
        <v>617648</v>
      </c>
    </row>
    <row r="285" spans="1:16" ht="30">
      <c r="A285" s="80">
        <v>6500</v>
      </c>
      <c r="B285" s="38" t="s">
        <v>326</v>
      </c>
      <c r="C285" s="265">
        <v>121</v>
      </c>
      <c r="D285" s="39"/>
      <c r="E285" s="39"/>
      <c r="F285" s="39"/>
      <c r="G285" s="39"/>
      <c r="H285" s="266"/>
      <c r="I285" s="39"/>
      <c r="J285" s="39"/>
      <c r="K285" s="5"/>
      <c r="L285" s="39"/>
      <c r="M285" s="39"/>
      <c r="N285" s="39"/>
      <c r="O285" s="5"/>
      <c r="P285" s="126">
        <f t="shared" si="54"/>
        <v>0</v>
      </c>
    </row>
    <row r="286" spans="1:16" ht="15">
      <c r="A286" s="80">
        <v>7200</v>
      </c>
      <c r="B286" s="38" t="s">
        <v>200</v>
      </c>
      <c r="C286" s="265">
        <v>685702</v>
      </c>
      <c r="D286" s="39">
        <v>715000</v>
      </c>
      <c r="E286" s="39"/>
      <c r="F286" s="39"/>
      <c r="G286" s="39"/>
      <c r="H286" s="266">
        <v>1932</v>
      </c>
      <c r="I286" s="39"/>
      <c r="J286" s="39">
        <v>20939</v>
      </c>
      <c r="K286" s="5">
        <v>14040</v>
      </c>
      <c r="L286" s="39">
        <v>3500</v>
      </c>
      <c r="M286" s="39"/>
      <c r="N286" s="39">
        <v>2780</v>
      </c>
      <c r="O286" s="5">
        <v>12000</v>
      </c>
      <c r="P286" s="126">
        <f t="shared" si="54"/>
        <v>770191</v>
      </c>
    </row>
    <row r="287" spans="1:16" ht="15">
      <c r="A287" s="80">
        <v>7700</v>
      </c>
      <c r="B287" s="38" t="s">
        <v>445</v>
      </c>
      <c r="C287" s="265">
        <v>19112</v>
      </c>
      <c r="D287" s="39"/>
      <c r="E287" s="39"/>
      <c r="F287" s="39"/>
      <c r="G287" s="39"/>
      <c r="H287" s="266"/>
      <c r="I287" s="39"/>
      <c r="J287" s="39"/>
      <c r="K287" s="39"/>
      <c r="L287" s="39"/>
      <c r="M287" s="39"/>
      <c r="N287" s="39"/>
      <c r="O287" s="42"/>
      <c r="P287" s="126">
        <f t="shared" si="54"/>
        <v>0</v>
      </c>
    </row>
    <row r="288" spans="1:16" ht="15">
      <c r="A288" s="80">
        <v>8100</v>
      </c>
      <c r="B288" s="61" t="s">
        <v>189</v>
      </c>
      <c r="C288" s="39">
        <v>35</v>
      </c>
      <c r="D288" s="39"/>
      <c r="E288" s="39"/>
      <c r="F288" s="39"/>
      <c r="G288" s="39"/>
      <c r="H288" s="266"/>
      <c r="I288" s="50"/>
      <c r="J288" s="39"/>
      <c r="K288" s="39"/>
      <c r="L288" s="39"/>
      <c r="M288" s="39"/>
      <c r="N288" s="39"/>
      <c r="O288" s="42"/>
      <c r="P288" s="126">
        <f t="shared" si="54"/>
        <v>0</v>
      </c>
    </row>
    <row r="289" spans="1:16" ht="15.75" thickBot="1">
      <c r="A289" s="63">
        <v>9000</v>
      </c>
      <c r="B289" s="268" t="s">
        <v>331</v>
      </c>
      <c r="C289" s="269"/>
      <c r="D289" s="73"/>
      <c r="E289" s="73"/>
      <c r="F289" s="73"/>
      <c r="G289" s="73"/>
      <c r="H289" s="270"/>
      <c r="I289" s="49">
        <f>SUM('[1]Izmaksas PB pa lielajiem EKK'!$D$21)</f>
        <v>7896</v>
      </c>
      <c r="J289" s="73"/>
      <c r="K289" s="73"/>
      <c r="L289" s="73"/>
      <c r="M289" s="73"/>
      <c r="N289" s="73"/>
      <c r="O289" s="75"/>
      <c r="P289" s="126">
        <f t="shared" si="54"/>
        <v>7896</v>
      </c>
    </row>
    <row r="290" spans="1:16" ht="15.75" thickBot="1">
      <c r="A290" s="241"/>
      <c r="B290" s="271" t="s">
        <v>142</v>
      </c>
      <c r="C290" s="272">
        <f>SUM(C268:C270,C277:C289)</f>
        <v>55083569</v>
      </c>
      <c r="D290" s="272">
        <f>SUM(D268:D270,D277:D289)</f>
        <v>49714474</v>
      </c>
      <c r="E290" s="272">
        <f aca="true" t="shared" si="55" ref="E290:O290">SUM(E268:E270,E277:E289)</f>
        <v>12519504</v>
      </c>
      <c r="F290" s="272">
        <f t="shared" si="55"/>
        <v>1392326</v>
      </c>
      <c r="G290" s="272">
        <f t="shared" si="55"/>
        <v>356815</v>
      </c>
      <c r="H290" s="272">
        <f t="shared" si="55"/>
        <v>2014282</v>
      </c>
      <c r="I290" s="272">
        <f t="shared" si="55"/>
        <v>793463</v>
      </c>
      <c r="J290" s="272">
        <f t="shared" si="55"/>
        <v>938504</v>
      </c>
      <c r="K290" s="272">
        <f t="shared" si="55"/>
        <v>2630732</v>
      </c>
      <c r="L290" s="272">
        <f t="shared" si="55"/>
        <v>251084</v>
      </c>
      <c r="M290" s="272">
        <f t="shared" si="55"/>
        <v>289601</v>
      </c>
      <c r="N290" s="272">
        <f t="shared" si="55"/>
        <v>318430</v>
      </c>
      <c r="O290" s="272">
        <f t="shared" si="55"/>
        <v>856430</v>
      </c>
      <c r="P290" s="31">
        <f t="shared" si="54"/>
        <v>72075645</v>
      </c>
    </row>
    <row r="291" spans="2:7" ht="15">
      <c r="B291" s="273"/>
      <c r="C291" s="273"/>
      <c r="D291" s="245"/>
      <c r="E291" s="245"/>
      <c r="F291" s="12"/>
      <c r="G291" s="12"/>
    </row>
    <row r="292" spans="2:16" ht="15">
      <c r="B292" s="273"/>
      <c r="C292" s="273"/>
      <c r="D292" s="245"/>
      <c r="E292" s="245"/>
      <c r="F292" s="12"/>
      <c r="G292" s="12"/>
      <c r="P292" s="243"/>
    </row>
    <row r="293" spans="2:7" ht="15">
      <c r="B293" s="113" t="s">
        <v>295</v>
      </c>
      <c r="C293" s="113"/>
      <c r="D293" s="245"/>
      <c r="E293" s="245"/>
      <c r="F293" s="12" t="s">
        <v>17</v>
      </c>
      <c r="G293" s="12"/>
    </row>
    <row r="294" spans="2:3" ht="15">
      <c r="B294" s="274"/>
      <c r="C294" s="274"/>
    </row>
    <row r="295" ht="15">
      <c r="D295" s="275"/>
    </row>
    <row r="298" spans="2:3" ht="15">
      <c r="B298" s="113"/>
      <c r="C298" s="113"/>
    </row>
  </sheetData>
  <sheetProtection/>
  <mergeCells count="3">
    <mergeCell ref="A5:E5"/>
    <mergeCell ref="A60:E60"/>
    <mergeCell ref="A266:E266"/>
  </mergeCells>
  <printOptions/>
  <pageMargins left="0.55" right="0.17" top="0.7874015748031497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J13" sqref="J13"/>
    </sheetView>
  </sheetViews>
  <sheetFormatPr defaultColWidth="8.8515625" defaultRowHeight="12.75"/>
  <cols>
    <col min="1" max="1" width="5.421875" style="513" customWidth="1"/>
    <col min="2" max="2" width="52.57421875" style="540" customWidth="1"/>
    <col min="3" max="3" width="13.7109375" style="513" customWidth="1"/>
    <col min="4" max="4" width="8.8515625" style="513" customWidth="1"/>
    <col min="5" max="5" width="7.421875" style="513" customWidth="1"/>
    <col min="6" max="7" width="8.8515625" style="513" customWidth="1"/>
    <col min="8" max="16384" width="8.8515625" style="513" customWidth="1"/>
  </cols>
  <sheetData>
    <row r="1" spans="2:4" ht="15.75">
      <c r="B1" s="543" t="s">
        <v>593</v>
      </c>
      <c r="C1" s="543"/>
      <c r="D1" s="543"/>
    </row>
    <row r="2" spans="2:4" ht="15.75">
      <c r="B2" s="544" t="s">
        <v>0</v>
      </c>
      <c r="C2" s="544"/>
      <c r="D2" s="544"/>
    </row>
    <row r="3" spans="2:4" ht="15.75">
      <c r="B3" s="544" t="s">
        <v>516</v>
      </c>
      <c r="C3" s="544"/>
      <c r="D3" s="544"/>
    </row>
    <row r="4" spans="1:3" ht="20.25" customHeight="1" thickBot="1">
      <c r="A4" s="545" t="s">
        <v>594</v>
      </c>
      <c r="B4" s="545"/>
      <c r="C4" s="545"/>
    </row>
    <row r="5" spans="1:3" ht="48" thickBot="1">
      <c r="A5" s="514" t="s">
        <v>595</v>
      </c>
      <c r="B5" s="515"/>
      <c r="C5" s="516" t="s">
        <v>596</v>
      </c>
    </row>
    <row r="6" spans="1:3" ht="31.5">
      <c r="A6" s="517">
        <v>1</v>
      </c>
      <c r="B6" s="518" t="s">
        <v>597</v>
      </c>
      <c r="C6" s="519">
        <v>2857374</v>
      </c>
    </row>
    <row r="7" spans="1:3" ht="47.25">
      <c r="A7" s="520">
        <v>2</v>
      </c>
      <c r="B7" s="521" t="s">
        <v>598</v>
      </c>
      <c r="C7" s="522">
        <v>4243747</v>
      </c>
    </row>
    <row r="8" spans="1:3" ht="21" customHeight="1">
      <c r="A8" s="520">
        <v>3</v>
      </c>
      <c r="B8" s="523" t="s">
        <v>599</v>
      </c>
      <c r="C8" s="524">
        <v>500000</v>
      </c>
    </row>
    <row r="9" spans="1:9" ht="31.5" customHeight="1">
      <c r="A9" s="520">
        <v>4</v>
      </c>
      <c r="B9" s="525" t="s">
        <v>600</v>
      </c>
      <c r="C9" s="526">
        <v>527487</v>
      </c>
      <c r="I9" s="527"/>
    </row>
    <row r="10" spans="1:3" ht="47.25">
      <c r="A10" s="520">
        <v>5</v>
      </c>
      <c r="B10" s="525" t="s">
        <v>601</v>
      </c>
      <c r="C10" s="526">
        <v>1229660</v>
      </c>
    </row>
    <row r="11" spans="1:3" ht="47.25">
      <c r="A11" s="520">
        <v>6</v>
      </c>
      <c r="B11" s="525" t="s">
        <v>602</v>
      </c>
      <c r="C11" s="526">
        <v>315872</v>
      </c>
    </row>
    <row r="12" spans="1:3" ht="31.5" customHeight="1">
      <c r="A12" s="520">
        <v>7</v>
      </c>
      <c r="B12" s="525" t="s">
        <v>603</v>
      </c>
      <c r="C12" s="526">
        <v>292835</v>
      </c>
    </row>
    <row r="13" spans="1:3" ht="31.5">
      <c r="A13" s="520">
        <v>8</v>
      </c>
      <c r="B13" s="525" t="s">
        <v>604</v>
      </c>
      <c r="C13" s="526">
        <v>2200000</v>
      </c>
    </row>
    <row r="14" spans="1:3" ht="47.25">
      <c r="A14" s="520">
        <v>9</v>
      </c>
      <c r="B14" s="525" t="s">
        <v>605</v>
      </c>
      <c r="C14" s="526">
        <v>19176</v>
      </c>
    </row>
    <row r="15" spans="1:3" ht="15.75">
      <c r="A15" s="520">
        <v>10</v>
      </c>
      <c r="B15" s="523" t="s">
        <v>606</v>
      </c>
      <c r="C15" s="528">
        <v>85876</v>
      </c>
    </row>
    <row r="16" spans="1:3" s="529" customFormat="1" ht="31.5">
      <c r="A16" s="520">
        <v>11</v>
      </c>
      <c r="B16" s="525" t="s">
        <v>607</v>
      </c>
      <c r="C16" s="528">
        <v>292700</v>
      </c>
    </row>
    <row r="17" spans="1:3" s="529" customFormat="1" ht="31.5">
      <c r="A17" s="520">
        <v>12</v>
      </c>
      <c r="B17" s="525" t="s">
        <v>486</v>
      </c>
      <c r="C17" s="530">
        <v>820000</v>
      </c>
    </row>
    <row r="18" spans="1:3" s="529" customFormat="1" ht="31.5">
      <c r="A18" s="520">
        <v>13</v>
      </c>
      <c r="B18" s="525" t="s">
        <v>608</v>
      </c>
      <c r="C18" s="531">
        <v>323617</v>
      </c>
    </row>
    <row r="19" spans="1:3" s="529" customFormat="1" ht="15.75">
      <c r="A19" s="520">
        <v>14</v>
      </c>
      <c r="B19" s="532" t="s">
        <v>348</v>
      </c>
      <c r="C19" s="528">
        <v>181974</v>
      </c>
    </row>
    <row r="20" spans="1:3" s="529" customFormat="1" ht="15.75">
      <c r="A20" s="520">
        <v>15</v>
      </c>
      <c r="B20" s="532" t="s">
        <v>609</v>
      </c>
      <c r="C20" s="528">
        <v>180000</v>
      </c>
    </row>
    <row r="21" spans="1:3" s="529" customFormat="1" ht="15.75">
      <c r="A21" s="520">
        <v>16</v>
      </c>
      <c r="B21" s="532" t="s">
        <v>489</v>
      </c>
      <c r="C21" s="528">
        <v>2257406</v>
      </c>
    </row>
    <row r="22" spans="1:3" s="529" customFormat="1" ht="15.75">
      <c r="A22" s="520">
        <v>17</v>
      </c>
      <c r="B22" s="525" t="s">
        <v>490</v>
      </c>
      <c r="C22" s="528">
        <v>717686</v>
      </c>
    </row>
    <row r="23" spans="1:3" s="529" customFormat="1" ht="31.5">
      <c r="A23" s="520">
        <v>18</v>
      </c>
      <c r="B23" s="533" t="s">
        <v>610</v>
      </c>
      <c r="C23" s="528">
        <v>47000</v>
      </c>
    </row>
    <row r="24" spans="1:3" s="529" customFormat="1" ht="31.5">
      <c r="A24" s="520">
        <v>19</v>
      </c>
      <c r="B24" s="533" t="s">
        <v>611</v>
      </c>
      <c r="C24" s="531">
        <v>20000</v>
      </c>
    </row>
    <row r="25" spans="1:3" s="529" customFormat="1" ht="32.25" thickBot="1">
      <c r="A25" s="520">
        <v>20</v>
      </c>
      <c r="B25" s="533" t="s">
        <v>612</v>
      </c>
      <c r="C25" s="534">
        <v>28000</v>
      </c>
    </row>
    <row r="26" spans="1:3" s="538" customFormat="1" ht="16.5" thickBot="1">
      <c r="A26" s="535"/>
      <c r="B26" s="536" t="s">
        <v>613</v>
      </c>
      <c r="C26" s="537">
        <f>SUM(C6:C25)</f>
        <v>17140410</v>
      </c>
    </row>
    <row r="28" spans="2:3" ht="15.75">
      <c r="B28" s="414" t="s">
        <v>295</v>
      </c>
      <c r="C28" s="539" t="s">
        <v>17</v>
      </c>
    </row>
  </sheetData>
  <sheetProtection/>
  <mergeCells count="4">
    <mergeCell ref="B1:D1"/>
    <mergeCell ref="B2:D2"/>
    <mergeCell ref="B3:D3"/>
    <mergeCell ref="A4:C4"/>
  </mergeCells>
  <printOptions/>
  <pageMargins left="1.15" right="0.5511811023622047" top="0.72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pane xSplit="2" ySplit="6" topLeftCell="C7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140625" defaultRowHeight="12.75"/>
  <cols>
    <col min="1" max="1" width="10.8515625" style="276" customWidth="1"/>
    <col min="2" max="2" width="44.28125" style="277" customWidth="1"/>
    <col min="3" max="3" width="10.7109375" style="276" customWidth="1"/>
    <col min="4" max="4" width="10.00390625" style="276" customWidth="1"/>
    <col min="5" max="5" width="9.7109375" style="276" customWidth="1"/>
    <col min="6" max="6" width="10.00390625" style="276" bestFit="1" customWidth="1"/>
    <col min="7" max="7" width="9.7109375" style="276" customWidth="1"/>
    <col min="8" max="8" width="10.7109375" style="276" customWidth="1"/>
    <col min="9" max="11" width="9.7109375" style="276" bestFit="1" customWidth="1"/>
    <col min="12" max="12" width="9.7109375" style="276" customWidth="1"/>
    <col min="13" max="13" width="11.57421875" style="279" customWidth="1"/>
    <col min="14" max="16384" width="9.140625" style="276" customWidth="1"/>
  </cols>
  <sheetData>
    <row r="1" ht="15">
      <c r="E1" s="278" t="s">
        <v>517</v>
      </c>
    </row>
    <row r="2" spans="1:5" ht="15">
      <c r="A2" s="280"/>
      <c r="E2" s="280" t="s">
        <v>518</v>
      </c>
    </row>
    <row r="3" spans="1:5" ht="15">
      <c r="A3" s="280"/>
      <c r="E3" s="280" t="s">
        <v>516</v>
      </c>
    </row>
    <row r="4" spans="1:12" ht="20.25">
      <c r="A4" s="281" t="s">
        <v>519</v>
      </c>
      <c r="B4" s="281"/>
      <c r="C4" s="281"/>
      <c r="D4" s="281"/>
      <c r="K4" s="282"/>
      <c r="L4" s="282"/>
    </row>
    <row r="5" spans="1:4" ht="15.75" thickBot="1">
      <c r="A5" s="280"/>
      <c r="B5" s="283"/>
      <c r="C5" s="280"/>
      <c r="D5" s="280"/>
    </row>
    <row r="6" spans="1:13" ht="102.75" customHeight="1" thickBot="1">
      <c r="A6" s="284" t="s">
        <v>1</v>
      </c>
      <c r="B6" s="285" t="s">
        <v>520</v>
      </c>
      <c r="C6" s="286" t="s">
        <v>446</v>
      </c>
      <c r="D6" s="287" t="s">
        <v>447</v>
      </c>
      <c r="E6" s="288" t="s">
        <v>450</v>
      </c>
      <c r="F6" s="288" t="s">
        <v>451</v>
      </c>
      <c r="G6" s="288" t="s">
        <v>452</v>
      </c>
      <c r="H6" s="288" t="s">
        <v>453</v>
      </c>
      <c r="I6" s="288" t="s">
        <v>454</v>
      </c>
      <c r="J6" s="288" t="s">
        <v>455</v>
      </c>
      <c r="K6" s="288" t="s">
        <v>456</v>
      </c>
      <c r="L6" s="289" t="s">
        <v>457</v>
      </c>
      <c r="M6" s="290" t="s">
        <v>458</v>
      </c>
    </row>
    <row r="7" spans="1:14" ht="15">
      <c r="A7" s="291"/>
      <c r="B7" s="292" t="s">
        <v>20</v>
      </c>
      <c r="C7" s="293">
        <f>C8</f>
        <v>90000</v>
      </c>
      <c r="D7" s="293">
        <f aca="true" t="shared" si="0" ref="D7:L7">D8</f>
        <v>0</v>
      </c>
      <c r="E7" s="293">
        <f t="shared" si="0"/>
        <v>0</v>
      </c>
      <c r="F7" s="293">
        <f t="shared" si="0"/>
        <v>0</v>
      </c>
      <c r="G7" s="293">
        <f t="shared" si="0"/>
        <v>0</v>
      </c>
      <c r="H7" s="293">
        <f t="shared" si="0"/>
        <v>0</v>
      </c>
      <c r="I7" s="293">
        <f t="shared" si="0"/>
        <v>0</v>
      </c>
      <c r="J7" s="293">
        <f t="shared" si="0"/>
        <v>0</v>
      </c>
      <c r="K7" s="293">
        <f t="shared" si="0"/>
        <v>0</v>
      </c>
      <c r="L7" s="293">
        <f t="shared" si="0"/>
        <v>0</v>
      </c>
      <c r="M7" s="294">
        <f aca="true" t="shared" si="1" ref="M7:M20">SUM(C7:L7)</f>
        <v>90000</v>
      </c>
      <c r="N7" s="295"/>
    </row>
    <row r="8" spans="1:13" ht="15">
      <c r="A8" s="296" t="s">
        <v>521</v>
      </c>
      <c r="B8" s="297" t="s">
        <v>522</v>
      </c>
      <c r="C8" s="298">
        <v>90000</v>
      </c>
      <c r="D8" s="298"/>
      <c r="E8" s="298"/>
      <c r="F8" s="298"/>
      <c r="G8" s="298"/>
      <c r="H8" s="298"/>
      <c r="I8" s="298"/>
      <c r="J8" s="298"/>
      <c r="K8" s="298"/>
      <c r="L8" s="298"/>
      <c r="M8" s="299">
        <f t="shared" si="1"/>
        <v>90000</v>
      </c>
    </row>
    <row r="9" spans="1:13" ht="15">
      <c r="A9" s="300"/>
      <c r="B9" s="301" t="s">
        <v>27</v>
      </c>
      <c r="C9" s="302">
        <f>SUM(C10:C11)</f>
        <v>0</v>
      </c>
      <c r="D9" s="303">
        <f>SUM(D10:D11)</f>
        <v>0</v>
      </c>
      <c r="E9" s="303">
        <f aca="true" t="shared" si="2" ref="E9:L9">SUM(E10:E11)</f>
        <v>0</v>
      </c>
      <c r="F9" s="303">
        <f t="shared" si="2"/>
        <v>0</v>
      </c>
      <c r="G9" s="303">
        <f t="shared" si="2"/>
        <v>0</v>
      </c>
      <c r="H9" s="303">
        <f t="shared" si="2"/>
        <v>0</v>
      </c>
      <c r="I9" s="303">
        <f t="shared" si="2"/>
        <v>0</v>
      </c>
      <c r="J9" s="303">
        <f t="shared" si="2"/>
        <v>0</v>
      </c>
      <c r="K9" s="302">
        <f t="shared" si="2"/>
        <v>0</v>
      </c>
      <c r="L9" s="303">
        <f t="shared" si="2"/>
        <v>0</v>
      </c>
      <c r="M9" s="294">
        <f t="shared" si="1"/>
        <v>0</v>
      </c>
    </row>
    <row r="10" spans="1:13" ht="15">
      <c r="A10" s="296" t="s">
        <v>523</v>
      </c>
      <c r="B10" s="297" t="s">
        <v>524</v>
      </c>
      <c r="C10" s="298"/>
      <c r="D10" s="304"/>
      <c r="E10" s="304"/>
      <c r="F10" s="298"/>
      <c r="G10" s="298"/>
      <c r="H10" s="298"/>
      <c r="I10" s="298"/>
      <c r="J10" s="298"/>
      <c r="K10" s="298"/>
      <c r="L10" s="305"/>
      <c r="M10" s="299">
        <f>SUM(C10:L10)</f>
        <v>0</v>
      </c>
    </row>
    <row r="11" spans="1:13" ht="15">
      <c r="A11" s="296" t="s">
        <v>525</v>
      </c>
      <c r="B11" s="297" t="s">
        <v>526</v>
      </c>
      <c r="C11" s="298"/>
      <c r="D11" s="304"/>
      <c r="E11" s="304"/>
      <c r="F11" s="298"/>
      <c r="G11" s="298"/>
      <c r="H11" s="298"/>
      <c r="I11" s="298"/>
      <c r="J11" s="298"/>
      <c r="K11" s="298"/>
      <c r="L11" s="305"/>
      <c r="M11" s="299">
        <f t="shared" si="1"/>
        <v>0</v>
      </c>
    </row>
    <row r="12" spans="1:13" s="279" customFormat="1" ht="28.5">
      <c r="A12" s="306" t="s">
        <v>527</v>
      </c>
      <c r="B12" s="301" t="s">
        <v>528</v>
      </c>
      <c r="C12" s="302">
        <v>909500</v>
      </c>
      <c r="D12" s="307"/>
      <c r="E12" s="307"/>
      <c r="F12" s="303"/>
      <c r="G12" s="303"/>
      <c r="H12" s="302"/>
      <c r="I12" s="303"/>
      <c r="J12" s="303"/>
      <c r="K12" s="302"/>
      <c r="L12" s="303"/>
      <c r="M12" s="294">
        <f t="shared" si="1"/>
        <v>909500</v>
      </c>
    </row>
    <row r="13" spans="1:13" ht="15">
      <c r="A13" s="306" t="s">
        <v>36</v>
      </c>
      <c r="B13" s="301" t="s">
        <v>37</v>
      </c>
      <c r="C13" s="302">
        <f aca="true" t="shared" si="3" ref="C13:L13">SUM(C14)</f>
        <v>0</v>
      </c>
      <c r="D13" s="302">
        <f t="shared" si="3"/>
        <v>0</v>
      </c>
      <c r="E13" s="302">
        <f t="shared" si="3"/>
        <v>0</v>
      </c>
      <c r="F13" s="302">
        <f t="shared" si="3"/>
        <v>0</v>
      </c>
      <c r="G13" s="302">
        <f t="shared" si="3"/>
        <v>0</v>
      </c>
      <c r="H13" s="302">
        <f t="shared" si="3"/>
        <v>0</v>
      </c>
      <c r="I13" s="302">
        <f t="shared" si="3"/>
        <v>0</v>
      </c>
      <c r="J13" s="302">
        <f t="shared" si="3"/>
        <v>0</v>
      </c>
      <c r="K13" s="302">
        <f t="shared" si="3"/>
        <v>0</v>
      </c>
      <c r="L13" s="302">
        <f t="shared" si="3"/>
        <v>0</v>
      </c>
      <c r="M13" s="294">
        <f t="shared" si="1"/>
        <v>0</v>
      </c>
    </row>
    <row r="14" spans="1:13" ht="33.75" customHeight="1">
      <c r="A14" s="306" t="s">
        <v>18</v>
      </c>
      <c r="B14" s="308" t="s">
        <v>194</v>
      </c>
      <c r="C14" s="302">
        <f aca="true" t="shared" si="4" ref="C14:L14">SUM(C15:C17)</f>
        <v>0</v>
      </c>
      <c r="D14" s="302">
        <f>SUM(D15:D17)</f>
        <v>0</v>
      </c>
      <c r="E14" s="302">
        <f t="shared" si="4"/>
        <v>0</v>
      </c>
      <c r="F14" s="302">
        <f t="shared" si="4"/>
        <v>0</v>
      </c>
      <c r="G14" s="302">
        <f t="shared" si="4"/>
        <v>0</v>
      </c>
      <c r="H14" s="302">
        <f t="shared" si="4"/>
        <v>0</v>
      </c>
      <c r="I14" s="302">
        <f t="shared" si="4"/>
        <v>0</v>
      </c>
      <c r="J14" s="302">
        <f t="shared" si="4"/>
        <v>0</v>
      </c>
      <c r="K14" s="302">
        <f t="shared" si="4"/>
        <v>0</v>
      </c>
      <c r="L14" s="302">
        <f t="shared" si="4"/>
        <v>0</v>
      </c>
      <c r="M14" s="294">
        <f t="shared" si="1"/>
        <v>0</v>
      </c>
    </row>
    <row r="15" spans="1:13" ht="45">
      <c r="A15" s="309" t="s">
        <v>469</v>
      </c>
      <c r="B15" s="297" t="s">
        <v>529</v>
      </c>
      <c r="C15" s="310"/>
      <c r="D15" s="302"/>
      <c r="E15" s="302"/>
      <c r="F15" s="302"/>
      <c r="G15" s="302"/>
      <c r="H15" s="298"/>
      <c r="I15" s="302"/>
      <c r="J15" s="302"/>
      <c r="K15" s="302"/>
      <c r="L15" s="302"/>
      <c r="M15" s="299">
        <f>SUM(C15:L15)</f>
        <v>0</v>
      </c>
    </row>
    <row r="16" spans="1:13" ht="15">
      <c r="A16" s="309" t="s">
        <v>38</v>
      </c>
      <c r="B16" s="297" t="s">
        <v>39</v>
      </c>
      <c r="C16" s="298"/>
      <c r="D16" s="304"/>
      <c r="E16" s="304"/>
      <c r="F16" s="298"/>
      <c r="G16" s="298"/>
      <c r="H16" s="298"/>
      <c r="I16" s="298"/>
      <c r="J16" s="298"/>
      <c r="K16" s="298"/>
      <c r="L16" s="305"/>
      <c r="M16" s="299">
        <f t="shared" si="1"/>
        <v>0</v>
      </c>
    </row>
    <row r="17" spans="1:13" ht="30.75" thickBot="1">
      <c r="A17" s="311" t="s">
        <v>40</v>
      </c>
      <c r="B17" s="312" t="s">
        <v>41</v>
      </c>
      <c r="C17" s="313"/>
      <c r="D17" s="314"/>
      <c r="E17" s="314"/>
      <c r="F17" s="313"/>
      <c r="G17" s="313"/>
      <c r="H17" s="313"/>
      <c r="I17" s="313"/>
      <c r="J17" s="313"/>
      <c r="K17" s="313"/>
      <c r="L17" s="315"/>
      <c r="M17" s="316">
        <f t="shared" si="1"/>
        <v>0</v>
      </c>
    </row>
    <row r="18" spans="1:13" ht="18.75" customHeight="1" thickBot="1">
      <c r="A18" s="317"/>
      <c r="B18" s="318" t="s">
        <v>42</v>
      </c>
      <c r="C18" s="319">
        <f aca="true" t="shared" si="5" ref="C18:L18">SUM(C7+C9+C12+C13)</f>
        <v>999500</v>
      </c>
      <c r="D18" s="319">
        <f>SUM(D7+D9+D12+D13)</f>
        <v>0</v>
      </c>
      <c r="E18" s="319">
        <f t="shared" si="5"/>
        <v>0</v>
      </c>
      <c r="F18" s="319">
        <f t="shared" si="5"/>
        <v>0</v>
      </c>
      <c r="G18" s="319">
        <f t="shared" si="5"/>
        <v>0</v>
      </c>
      <c r="H18" s="319">
        <f t="shared" si="5"/>
        <v>0</v>
      </c>
      <c r="I18" s="319">
        <f t="shared" si="5"/>
        <v>0</v>
      </c>
      <c r="J18" s="319">
        <f t="shared" si="5"/>
        <v>0</v>
      </c>
      <c r="K18" s="319">
        <f t="shared" si="5"/>
        <v>0</v>
      </c>
      <c r="L18" s="319">
        <f t="shared" si="5"/>
        <v>0</v>
      </c>
      <c r="M18" s="320">
        <f t="shared" si="1"/>
        <v>999500</v>
      </c>
    </row>
    <row r="19" spans="1:13" ht="15">
      <c r="A19" s="321" t="s">
        <v>530</v>
      </c>
      <c r="B19" s="322" t="s">
        <v>531</v>
      </c>
      <c r="C19" s="323">
        <v>88366</v>
      </c>
      <c r="D19" s="323">
        <v>7487</v>
      </c>
      <c r="E19" s="323">
        <v>20720</v>
      </c>
      <c r="F19" s="323">
        <v>11552</v>
      </c>
      <c r="G19" s="323">
        <v>2838</v>
      </c>
      <c r="H19" s="323">
        <v>47995</v>
      </c>
      <c r="I19" s="323">
        <v>42215</v>
      </c>
      <c r="J19" s="323">
        <v>5016</v>
      </c>
      <c r="K19" s="323">
        <v>16944</v>
      </c>
      <c r="L19" s="323">
        <v>13277</v>
      </c>
      <c r="M19" s="299">
        <f t="shared" si="1"/>
        <v>256410</v>
      </c>
    </row>
    <row r="20" spans="1:13" ht="15">
      <c r="A20" s="324"/>
      <c r="B20" s="325" t="s">
        <v>44</v>
      </c>
      <c r="C20" s="326">
        <f aca="true" t="shared" si="6" ref="C20:L20">SUM(C18:C19)</f>
        <v>1087866</v>
      </c>
      <c r="D20" s="326">
        <f t="shared" si="6"/>
        <v>7487</v>
      </c>
      <c r="E20" s="326">
        <f t="shared" si="6"/>
        <v>20720</v>
      </c>
      <c r="F20" s="326">
        <f t="shared" si="6"/>
        <v>11552</v>
      </c>
      <c r="G20" s="326">
        <f t="shared" si="6"/>
        <v>2838</v>
      </c>
      <c r="H20" s="326">
        <f t="shared" si="6"/>
        <v>47995</v>
      </c>
      <c r="I20" s="326">
        <f t="shared" si="6"/>
        <v>42215</v>
      </c>
      <c r="J20" s="326">
        <f t="shared" si="6"/>
        <v>5016</v>
      </c>
      <c r="K20" s="326">
        <f t="shared" si="6"/>
        <v>16944</v>
      </c>
      <c r="L20" s="326">
        <f t="shared" si="6"/>
        <v>13277</v>
      </c>
      <c r="M20" s="294">
        <f t="shared" si="1"/>
        <v>1255910</v>
      </c>
    </row>
    <row r="21" spans="1:13" ht="15">
      <c r="A21" s="327"/>
      <c r="C21" s="327"/>
      <c r="D21" s="327"/>
      <c r="E21" s="327"/>
      <c r="F21" s="328"/>
      <c r="G21" s="327"/>
      <c r="H21" s="327"/>
      <c r="I21" s="327"/>
      <c r="J21" s="327"/>
      <c r="K21" s="327"/>
      <c r="L21" s="327"/>
      <c r="M21" s="329"/>
    </row>
    <row r="22" spans="1:13" s="334" customFormat="1" ht="15.75">
      <c r="A22" s="330"/>
      <c r="B22" s="331" t="s">
        <v>295</v>
      </c>
      <c r="C22" s="330"/>
      <c r="D22" s="330"/>
      <c r="E22" s="330"/>
      <c r="F22" s="332" t="s">
        <v>17</v>
      </c>
      <c r="G22" s="330"/>
      <c r="H22" s="330"/>
      <c r="I22" s="330"/>
      <c r="J22" s="330"/>
      <c r="K22" s="330"/>
      <c r="L22" s="330"/>
      <c r="M22" s="333"/>
    </row>
    <row r="23" spans="1:13" ht="48" customHeight="1" thickBot="1">
      <c r="A23" s="546" t="s">
        <v>532</v>
      </c>
      <c r="B23" s="546"/>
      <c r="C23" s="546"/>
      <c r="D23" s="546"/>
      <c r="E23" s="546"/>
      <c r="F23" s="546"/>
      <c r="G23" s="327"/>
      <c r="H23" s="327"/>
      <c r="I23" s="327"/>
      <c r="J23" s="327"/>
      <c r="K23" s="327"/>
      <c r="L23" s="327"/>
      <c r="M23" s="329"/>
    </row>
    <row r="24" spans="1:13" ht="105.75" thickBot="1">
      <c r="A24" s="335" t="s">
        <v>1</v>
      </c>
      <c r="B24" s="336" t="s">
        <v>533</v>
      </c>
      <c r="C24" s="286" t="s">
        <v>446</v>
      </c>
      <c r="D24" s="337" t="s">
        <v>447</v>
      </c>
      <c r="E24" s="338" t="s">
        <v>450</v>
      </c>
      <c r="F24" s="338" t="s">
        <v>451</v>
      </c>
      <c r="G24" s="338" t="s">
        <v>452</v>
      </c>
      <c r="H24" s="338" t="s">
        <v>453</v>
      </c>
      <c r="I24" s="338" t="s">
        <v>454</v>
      </c>
      <c r="J24" s="338" t="s">
        <v>455</v>
      </c>
      <c r="K24" s="338" t="s">
        <v>456</v>
      </c>
      <c r="L24" s="339" t="s">
        <v>457</v>
      </c>
      <c r="M24" s="340" t="s">
        <v>458</v>
      </c>
    </row>
    <row r="25" spans="1:13" ht="15.75" thickBot="1">
      <c r="A25" s="341" t="s">
        <v>10</v>
      </c>
      <c r="B25" s="342" t="s">
        <v>57</v>
      </c>
      <c r="C25" s="343">
        <f aca="true" t="shared" si="7" ref="C25:L25">SUM(C26:C28)</f>
        <v>6058</v>
      </c>
      <c r="D25" s="343">
        <f>SUM(D26:D28)</f>
        <v>561239</v>
      </c>
      <c r="E25" s="343">
        <f t="shared" si="7"/>
        <v>65199</v>
      </c>
      <c r="F25" s="343">
        <f t="shared" si="7"/>
        <v>31408</v>
      </c>
      <c r="G25" s="343">
        <f t="shared" si="7"/>
        <v>43963</v>
      </c>
      <c r="H25" s="343">
        <f t="shared" si="7"/>
        <v>65711</v>
      </c>
      <c r="I25" s="343">
        <f t="shared" si="7"/>
        <v>43055</v>
      </c>
      <c r="J25" s="343">
        <f t="shared" si="7"/>
        <v>41871</v>
      </c>
      <c r="K25" s="343">
        <f>SUM(K26:K28)</f>
        <v>30761</v>
      </c>
      <c r="L25" s="343">
        <f t="shared" si="7"/>
        <v>42643</v>
      </c>
      <c r="M25" s="320">
        <f>SUM(C25:L25)</f>
        <v>931908</v>
      </c>
    </row>
    <row r="26" spans="1:13" ht="15">
      <c r="A26" s="344" t="s">
        <v>534</v>
      </c>
      <c r="B26" s="297" t="s">
        <v>535</v>
      </c>
      <c r="C26" s="345"/>
      <c r="D26" s="345"/>
      <c r="E26" s="345"/>
      <c r="F26" s="345"/>
      <c r="G26" s="345"/>
      <c r="H26" s="345"/>
      <c r="I26" s="345"/>
      <c r="J26" s="346"/>
      <c r="K26" s="347"/>
      <c r="L26" s="348"/>
      <c r="M26" s="349">
        <f>SUM(C26:L26)</f>
        <v>0</v>
      </c>
    </row>
    <row r="27" spans="1:13" ht="15">
      <c r="A27" s="309" t="s">
        <v>536</v>
      </c>
      <c r="B27" s="297" t="s">
        <v>537</v>
      </c>
      <c r="C27" s="305">
        <v>6058</v>
      </c>
      <c r="D27" s="305">
        <v>561239</v>
      </c>
      <c r="E27" s="305">
        <v>65199</v>
      </c>
      <c r="F27" s="305">
        <v>31408</v>
      </c>
      <c r="G27" s="305">
        <v>43963</v>
      </c>
      <c r="H27" s="305">
        <v>65711</v>
      </c>
      <c r="I27" s="305">
        <v>43055</v>
      </c>
      <c r="J27" s="298">
        <v>41871</v>
      </c>
      <c r="K27" s="304">
        <v>30761</v>
      </c>
      <c r="L27" s="350">
        <v>42643</v>
      </c>
      <c r="M27" s="351">
        <f>SUM(C27:L27)</f>
        <v>931908</v>
      </c>
    </row>
    <row r="28" spans="1:13" ht="15.75" thickBot="1">
      <c r="A28" s="352" t="s">
        <v>538</v>
      </c>
      <c r="B28" s="353" t="s">
        <v>539</v>
      </c>
      <c r="C28" s="354"/>
      <c r="D28" s="354"/>
      <c r="E28" s="354"/>
      <c r="F28" s="354"/>
      <c r="G28" s="354"/>
      <c r="H28" s="354"/>
      <c r="I28" s="354"/>
      <c r="J28" s="355"/>
      <c r="K28" s="356"/>
      <c r="L28" s="357"/>
      <c r="M28" s="316">
        <f>SUM(C28:L28)</f>
        <v>0</v>
      </c>
    </row>
    <row r="29" spans="1:13" ht="15.75" thickBot="1">
      <c r="A29" s="341" t="s">
        <v>13</v>
      </c>
      <c r="B29" s="358" t="s">
        <v>63</v>
      </c>
      <c r="C29" s="343">
        <f aca="true" t="shared" si="8" ref="C29:L29">SUM(C30:C33)</f>
        <v>109642</v>
      </c>
      <c r="D29" s="343">
        <f>SUM(D30:D33)</f>
        <v>0</v>
      </c>
      <c r="E29" s="343">
        <f t="shared" si="8"/>
        <v>6755</v>
      </c>
      <c r="F29" s="343">
        <f t="shared" si="8"/>
        <v>8520</v>
      </c>
      <c r="G29" s="343">
        <f t="shared" si="8"/>
        <v>0</v>
      </c>
      <c r="H29" s="343">
        <f t="shared" si="8"/>
        <v>56985</v>
      </c>
      <c r="I29" s="343">
        <f t="shared" si="8"/>
        <v>25656</v>
      </c>
      <c r="J29" s="343">
        <f t="shared" si="8"/>
        <v>776</v>
      </c>
      <c r="K29" s="343">
        <f t="shared" si="8"/>
        <v>0</v>
      </c>
      <c r="L29" s="343">
        <f t="shared" si="8"/>
        <v>3500</v>
      </c>
      <c r="M29" s="320">
        <f>SUM(C29:L29)</f>
        <v>211834</v>
      </c>
    </row>
    <row r="30" spans="1:13" ht="15">
      <c r="A30" s="344" t="s">
        <v>64</v>
      </c>
      <c r="B30" s="359" t="s">
        <v>65</v>
      </c>
      <c r="C30" s="345"/>
      <c r="D30" s="345"/>
      <c r="E30" s="345">
        <v>625</v>
      </c>
      <c r="F30" s="345"/>
      <c r="G30" s="345"/>
      <c r="H30" s="345">
        <v>2800</v>
      </c>
      <c r="I30" s="345">
        <v>25656</v>
      </c>
      <c r="J30" s="346"/>
      <c r="K30" s="360"/>
      <c r="L30" s="348"/>
      <c r="M30" s="351">
        <f aca="true" t="shared" si="9" ref="M30:M37">SUM(C30:L30)</f>
        <v>29081</v>
      </c>
    </row>
    <row r="31" spans="1:13" ht="15">
      <c r="A31" s="309" t="s">
        <v>66</v>
      </c>
      <c r="B31" s="361" t="s">
        <v>67</v>
      </c>
      <c r="C31" s="305">
        <v>81132</v>
      </c>
      <c r="D31" s="305"/>
      <c r="E31" s="305"/>
      <c r="F31" s="305"/>
      <c r="G31" s="305"/>
      <c r="H31" s="305">
        <v>54185</v>
      </c>
      <c r="I31" s="305"/>
      <c r="J31" s="298"/>
      <c r="K31" s="298"/>
      <c r="L31" s="350"/>
      <c r="M31" s="351">
        <f t="shared" si="9"/>
        <v>135317</v>
      </c>
    </row>
    <row r="32" spans="1:13" ht="15">
      <c r="A32" s="309" t="s">
        <v>217</v>
      </c>
      <c r="B32" s="361" t="s">
        <v>218</v>
      </c>
      <c r="C32" s="305"/>
      <c r="D32" s="305"/>
      <c r="E32" s="305">
        <v>6130</v>
      </c>
      <c r="F32" s="305">
        <v>8520</v>
      </c>
      <c r="G32" s="305"/>
      <c r="H32" s="305"/>
      <c r="I32" s="305"/>
      <c r="J32" s="298">
        <v>776</v>
      </c>
      <c r="K32" s="298"/>
      <c r="L32" s="350">
        <v>3500</v>
      </c>
      <c r="M32" s="351">
        <f t="shared" si="9"/>
        <v>18926</v>
      </c>
    </row>
    <row r="33" spans="1:13" ht="15.75" thickBot="1">
      <c r="A33" s="352" t="s">
        <v>215</v>
      </c>
      <c r="B33" s="362" t="s">
        <v>216</v>
      </c>
      <c r="C33" s="354">
        <v>28510</v>
      </c>
      <c r="D33" s="354"/>
      <c r="E33" s="354"/>
      <c r="F33" s="354"/>
      <c r="G33" s="354"/>
      <c r="H33" s="354"/>
      <c r="I33" s="354"/>
      <c r="J33" s="355"/>
      <c r="K33" s="298"/>
      <c r="L33" s="357"/>
      <c r="M33" s="351">
        <f t="shared" si="9"/>
        <v>28510</v>
      </c>
    </row>
    <row r="34" spans="1:13" ht="30" thickBot="1">
      <c r="A34" s="363" t="s">
        <v>14</v>
      </c>
      <c r="B34" s="364" t="s">
        <v>68</v>
      </c>
      <c r="C34" s="365">
        <f aca="true" t="shared" si="10" ref="C34:L34">SUM(C35:C37)</f>
        <v>0</v>
      </c>
      <c r="D34" s="365">
        <f>SUM(D35:D37)</f>
        <v>13745</v>
      </c>
      <c r="E34" s="365">
        <f t="shared" si="10"/>
        <v>0</v>
      </c>
      <c r="F34" s="365">
        <f t="shared" si="10"/>
        <v>0</v>
      </c>
      <c r="G34" s="365">
        <f t="shared" si="10"/>
        <v>2160</v>
      </c>
      <c r="H34" s="365">
        <f t="shared" si="10"/>
        <v>3000</v>
      </c>
      <c r="I34" s="365">
        <f t="shared" si="10"/>
        <v>0</v>
      </c>
      <c r="J34" s="366">
        <f t="shared" si="10"/>
        <v>0</v>
      </c>
      <c r="K34" s="366">
        <f>SUM(K35:K37)</f>
        <v>0</v>
      </c>
      <c r="L34" s="367">
        <f t="shared" si="10"/>
        <v>0</v>
      </c>
      <c r="M34" s="368">
        <f>SUM(C34:L34)</f>
        <v>18905</v>
      </c>
    </row>
    <row r="35" spans="1:13" ht="15">
      <c r="A35" s="369" t="s">
        <v>69</v>
      </c>
      <c r="B35" s="370" t="s">
        <v>70</v>
      </c>
      <c r="C35" s="360"/>
      <c r="D35" s="360"/>
      <c r="E35" s="360"/>
      <c r="F35" s="360"/>
      <c r="G35" s="360">
        <v>2160</v>
      </c>
      <c r="H35" s="360"/>
      <c r="I35" s="360"/>
      <c r="J35" s="360"/>
      <c r="K35" s="360"/>
      <c r="L35" s="348"/>
      <c r="M35" s="371">
        <f t="shared" si="9"/>
        <v>2160</v>
      </c>
    </row>
    <row r="36" spans="1:13" ht="15">
      <c r="A36" s="309" t="s">
        <v>540</v>
      </c>
      <c r="B36" s="361" t="s">
        <v>71</v>
      </c>
      <c r="C36" s="305"/>
      <c r="D36" s="305">
        <v>13745</v>
      </c>
      <c r="E36" s="305"/>
      <c r="F36" s="305"/>
      <c r="G36" s="305"/>
      <c r="H36" s="305">
        <v>3000</v>
      </c>
      <c r="I36" s="305"/>
      <c r="J36" s="298"/>
      <c r="K36" s="298"/>
      <c r="L36" s="350"/>
      <c r="M36" s="351">
        <f t="shared" si="9"/>
        <v>16745</v>
      </c>
    </row>
    <row r="37" spans="1:13" ht="30.75" thickBot="1">
      <c r="A37" s="372" t="s">
        <v>72</v>
      </c>
      <c r="B37" s="373" t="s">
        <v>73</v>
      </c>
      <c r="C37" s="354"/>
      <c r="D37" s="354"/>
      <c r="E37" s="354"/>
      <c r="F37" s="354"/>
      <c r="G37" s="354"/>
      <c r="H37" s="354"/>
      <c r="I37" s="354"/>
      <c r="J37" s="355"/>
      <c r="K37" s="374"/>
      <c r="L37" s="357"/>
      <c r="M37" s="351">
        <f t="shared" si="9"/>
        <v>0</v>
      </c>
    </row>
    <row r="38" spans="1:13" ht="15.75" thickBot="1">
      <c r="A38" s="375"/>
      <c r="B38" s="342" t="s">
        <v>16</v>
      </c>
      <c r="C38" s="343">
        <f aca="true" t="shared" si="11" ref="C38:L38">C25+C29+C34</f>
        <v>115700</v>
      </c>
      <c r="D38" s="343">
        <f>D25+D29+D34</f>
        <v>574984</v>
      </c>
      <c r="E38" s="343">
        <f t="shared" si="11"/>
        <v>71954</v>
      </c>
      <c r="F38" s="343">
        <f t="shared" si="11"/>
        <v>39928</v>
      </c>
      <c r="G38" s="343">
        <f t="shared" si="11"/>
        <v>46123</v>
      </c>
      <c r="H38" s="343">
        <f t="shared" si="11"/>
        <v>125696</v>
      </c>
      <c r="I38" s="343">
        <f t="shared" si="11"/>
        <v>68711</v>
      </c>
      <c r="J38" s="343">
        <f t="shared" si="11"/>
        <v>42647</v>
      </c>
      <c r="K38" s="343">
        <f t="shared" si="11"/>
        <v>30761</v>
      </c>
      <c r="L38" s="343">
        <f t="shared" si="11"/>
        <v>46143</v>
      </c>
      <c r="M38" s="320">
        <f>SUM(C38:L38)</f>
        <v>1162647</v>
      </c>
    </row>
    <row r="39" spans="1:13" ht="15">
      <c r="A39" s="376" t="s">
        <v>541</v>
      </c>
      <c r="B39" s="377" t="s">
        <v>542</v>
      </c>
      <c r="C39" s="378"/>
      <c r="D39" s="327"/>
      <c r="E39" s="379"/>
      <c r="F39" s="327"/>
      <c r="G39" s="327"/>
      <c r="H39" s="327"/>
      <c r="I39" s="327"/>
      <c r="J39" s="327"/>
      <c r="K39" s="327"/>
      <c r="L39" s="327"/>
      <c r="M39" s="329">
        <f>SUM(C39:L39)</f>
        <v>0</v>
      </c>
    </row>
    <row r="40" spans="1:13" ht="15">
      <c r="A40" s="327" t="s">
        <v>543</v>
      </c>
      <c r="B40" s="380" t="s">
        <v>544</v>
      </c>
      <c r="C40" s="327">
        <v>41530</v>
      </c>
      <c r="D40" s="327"/>
      <c r="E40" s="327">
        <v>10054</v>
      </c>
      <c r="F40" s="327">
        <v>7972</v>
      </c>
      <c r="G40" s="327"/>
      <c r="H40" s="327"/>
      <c r="I40" s="327"/>
      <c r="J40" s="327">
        <v>3300</v>
      </c>
      <c r="K40" s="327">
        <v>17261</v>
      </c>
      <c r="L40" s="327">
        <v>13146</v>
      </c>
      <c r="M40" s="329">
        <f>SUM(C40:L40)</f>
        <v>93263</v>
      </c>
    </row>
    <row r="41" spans="1:13" ht="15">
      <c r="A41" s="327"/>
      <c r="B41" s="380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9"/>
    </row>
    <row r="42" spans="1:13" ht="30">
      <c r="A42" s="381" t="s">
        <v>272</v>
      </c>
      <c r="B42" s="382" t="s">
        <v>199</v>
      </c>
      <c r="C42" s="383">
        <f aca="true" t="shared" si="12" ref="C42:M42">C20-C38-C39-C40</f>
        <v>930636</v>
      </c>
      <c r="D42" s="384">
        <f>D20-D38-D39-D40</f>
        <v>-567497</v>
      </c>
      <c r="E42" s="383">
        <f t="shared" si="12"/>
        <v>-61288</v>
      </c>
      <c r="F42" s="383">
        <f t="shared" si="12"/>
        <v>-36348</v>
      </c>
      <c r="G42" s="383">
        <f t="shared" si="12"/>
        <v>-43285</v>
      </c>
      <c r="H42" s="383">
        <f t="shared" si="12"/>
        <v>-77701</v>
      </c>
      <c r="I42" s="383">
        <f t="shared" si="12"/>
        <v>-26496</v>
      </c>
      <c r="J42" s="383">
        <f t="shared" si="12"/>
        <v>-40931</v>
      </c>
      <c r="K42" s="383">
        <f t="shared" si="12"/>
        <v>-31078</v>
      </c>
      <c r="L42" s="383">
        <f t="shared" si="12"/>
        <v>-46012</v>
      </c>
      <c r="M42" s="383">
        <f t="shared" si="12"/>
        <v>0</v>
      </c>
    </row>
    <row r="43" spans="1:13" s="334" customFormat="1" ht="15.75">
      <c r="A43" s="330"/>
      <c r="B43" s="331" t="s">
        <v>295</v>
      </c>
      <c r="C43" s="330"/>
      <c r="D43" s="330"/>
      <c r="E43" s="330"/>
      <c r="F43" s="332" t="s">
        <v>17</v>
      </c>
      <c r="G43" s="330"/>
      <c r="H43" s="330"/>
      <c r="I43" s="330"/>
      <c r="J43" s="330"/>
      <c r="K43" s="330"/>
      <c r="L43" s="330"/>
      <c r="M43" s="333"/>
    </row>
    <row r="44" spans="1:13" ht="15">
      <c r="A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9"/>
    </row>
    <row r="45" spans="1:13" ht="66" customHeight="1" thickBot="1">
      <c r="A45" s="547" t="s">
        <v>545</v>
      </c>
      <c r="B45" s="547"/>
      <c r="C45" s="547"/>
      <c r="D45" s="547"/>
      <c r="E45" s="547"/>
      <c r="F45" s="547"/>
      <c r="G45" s="547"/>
      <c r="H45" s="327"/>
      <c r="I45" s="327"/>
      <c r="J45" s="327"/>
      <c r="K45" s="327"/>
      <c r="L45" s="327"/>
      <c r="M45" s="329"/>
    </row>
    <row r="46" spans="1:13" ht="105.75" thickBot="1">
      <c r="A46" s="335" t="s">
        <v>1</v>
      </c>
      <c r="B46" s="336" t="s">
        <v>533</v>
      </c>
      <c r="C46" s="286" t="s">
        <v>446</v>
      </c>
      <c r="D46" s="337" t="s">
        <v>447</v>
      </c>
      <c r="E46" s="338" t="s">
        <v>450</v>
      </c>
      <c r="F46" s="338" t="s">
        <v>451</v>
      </c>
      <c r="G46" s="338" t="s">
        <v>452</v>
      </c>
      <c r="H46" s="338" t="s">
        <v>453</v>
      </c>
      <c r="I46" s="338" t="s">
        <v>454</v>
      </c>
      <c r="J46" s="338" t="s">
        <v>455</v>
      </c>
      <c r="K46" s="338" t="s">
        <v>456</v>
      </c>
      <c r="L46" s="339" t="s">
        <v>457</v>
      </c>
      <c r="M46" s="340" t="s">
        <v>458</v>
      </c>
    </row>
    <row r="47" spans="1:13" ht="15">
      <c r="A47" s="385">
        <v>1100</v>
      </c>
      <c r="B47" s="386" t="s">
        <v>546</v>
      </c>
      <c r="C47" s="387">
        <v>3600</v>
      </c>
      <c r="D47" s="387"/>
      <c r="E47" s="387">
        <v>9728</v>
      </c>
      <c r="F47" s="387">
        <v>1600</v>
      </c>
      <c r="G47" s="387">
        <v>14039</v>
      </c>
      <c r="H47" s="387">
        <v>12189</v>
      </c>
      <c r="I47" s="387"/>
      <c r="J47" s="387">
        <v>10000</v>
      </c>
      <c r="K47" s="387">
        <v>7000</v>
      </c>
      <c r="L47" s="388">
        <v>13567</v>
      </c>
      <c r="M47" s="368">
        <f>SUM(C47:L47)</f>
        <v>71723</v>
      </c>
    </row>
    <row r="48" spans="1:13" ht="47.25" customHeight="1" thickBot="1">
      <c r="A48" s="389">
        <v>1200</v>
      </c>
      <c r="B48" s="390" t="s">
        <v>547</v>
      </c>
      <c r="C48" s="391">
        <v>868</v>
      </c>
      <c r="D48" s="391"/>
      <c r="E48" s="391">
        <v>2943</v>
      </c>
      <c r="F48" s="391">
        <v>400</v>
      </c>
      <c r="G48" s="391">
        <v>3948</v>
      </c>
      <c r="H48" s="391">
        <v>3536</v>
      </c>
      <c r="I48" s="391"/>
      <c r="J48" s="391">
        <v>2409</v>
      </c>
      <c r="K48" s="391">
        <v>1686</v>
      </c>
      <c r="L48" s="392">
        <v>4576</v>
      </c>
      <c r="M48" s="393">
        <f>SUM(C48:L48)</f>
        <v>20366</v>
      </c>
    </row>
    <row r="49" spans="1:13" ht="15.75" thickBot="1">
      <c r="A49" s="394">
        <v>2000</v>
      </c>
      <c r="B49" s="395" t="s">
        <v>133</v>
      </c>
      <c r="C49" s="396">
        <f>SUM(C50:C53)</f>
        <v>82945</v>
      </c>
      <c r="D49" s="396">
        <f aca="true" t="shared" si="13" ref="D49:L49">SUM(D50:D53)</f>
        <v>568329</v>
      </c>
      <c r="E49" s="396">
        <f t="shared" si="13"/>
        <v>59283</v>
      </c>
      <c r="F49" s="396">
        <f t="shared" si="13"/>
        <v>37928</v>
      </c>
      <c r="G49" s="396">
        <f t="shared" si="13"/>
        <v>27729</v>
      </c>
      <c r="H49" s="396">
        <f t="shared" si="13"/>
        <v>49319</v>
      </c>
      <c r="I49" s="396">
        <f t="shared" si="13"/>
        <v>68711</v>
      </c>
      <c r="J49" s="396">
        <f t="shared" si="13"/>
        <v>29738</v>
      </c>
      <c r="K49" s="396">
        <f t="shared" si="13"/>
        <v>22075</v>
      </c>
      <c r="L49" s="396">
        <f t="shared" si="13"/>
        <v>26500</v>
      </c>
      <c r="M49" s="320">
        <f>SUM(M50:M53)</f>
        <v>972557</v>
      </c>
    </row>
    <row r="50" spans="1:13" ht="15">
      <c r="A50" s="397">
        <v>2200</v>
      </c>
      <c r="B50" s="398" t="s">
        <v>134</v>
      </c>
      <c r="C50" s="399">
        <v>82792</v>
      </c>
      <c r="D50" s="400">
        <v>568329</v>
      </c>
      <c r="E50" s="399">
        <v>44283</v>
      </c>
      <c r="F50" s="399">
        <v>35378</v>
      </c>
      <c r="G50" s="399">
        <v>10972</v>
      </c>
      <c r="H50" s="399">
        <v>28327</v>
      </c>
      <c r="I50" s="399">
        <v>68711</v>
      </c>
      <c r="J50" s="293">
        <v>25238</v>
      </c>
      <c r="K50" s="399">
        <v>20075</v>
      </c>
      <c r="L50" s="401">
        <v>11500</v>
      </c>
      <c r="M50" s="294">
        <f aca="true" t="shared" si="14" ref="M50:M57">SUM(C50:L50)</f>
        <v>895605</v>
      </c>
    </row>
    <row r="51" spans="1:13" ht="43.5">
      <c r="A51" s="402">
        <v>2300</v>
      </c>
      <c r="B51" s="403" t="s">
        <v>135</v>
      </c>
      <c r="C51" s="302">
        <v>153</v>
      </c>
      <c r="D51" s="302"/>
      <c r="E51" s="302">
        <v>15000</v>
      </c>
      <c r="F51" s="302">
        <v>2550</v>
      </c>
      <c r="G51" s="302">
        <v>16757</v>
      </c>
      <c r="H51" s="302">
        <v>18992</v>
      </c>
      <c r="I51" s="302"/>
      <c r="J51" s="302">
        <v>4500</v>
      </c>
      <c r="K51" s="302">
        <v>2000</v>
      </c>
      <c r="L51" s="303">
        <v>15000</v>
      </c>
      <c r="M51" s="404">
        <f t="shared" si="14"/>
        <v>74952</v>
      </c>
    </row>
    <row r="52" spans="1:13" ht="15">
      <c r="A52" s="402">
        <v>2400</v>
      </c>
      <c r="B52" s="403" t="s">
        <v>167</v>
      </c>
      <c r="C52" s="302"/>
      <c r="D52" s="302"/>
      <c r="E52" s="302"/>
      <c r="F52" s="302"/>
      <c r="G52" s="302"/>
      <c r="H52" s="302"/>
      <c r="I52" s="302"/>
      <c r="J52" s="302"/>
      <c r="K52" s="302"/>
      <c r="L52" s="303"/>
      <c r="M52" s="405">
        <f t="shared" si="14"/>
        <v>0</v>
      </c>
    </row>
    <row r="53" spans="1:13" ht="15">
      <c r="A53" s="402">
        <v>2500</v>
      </c>
      <c r="B53" s="403" t="s">
        <v>136</v>
      </c>
      <c r="C53" s="302"/>
      <c r="D53" s="302"/>
      <c r="E53" s="302"/>
      <c r="F53" s="302"/>
      <c r="G53" s="302"/>
      <c r="H53" s="302">
        <v>2000</v>
      </c>
      <c r="I53" s="302"/>
      <c r="J53" s="302"/>
      <c r="K53" s="302"/>
      <c r="L53" s="303"/>
      <c r="M53" s="405">
        <f t="shared" si="14"/>
        <v>2000</v>
      </c>
    </row>
    <row r="54" spans="1:13" ht="29.25">
      <c r="A54" s="402">
        <v>3200</v>
      </c>
      <c r="B54" s="403" t="s">
        <v>548</v>
      </c>
      <c r="C54" s="406">
        <v>1000</v>
      </c>
      <c r="D54" s="302"/>
      <c r="E54" s="302"/>
      <c r="F54" s="302"/>
      <c r="G54" s="302"/>
      <c r="H54" s="302"/>
      <c r="I54" s="302"/>
      <c r="J54" s="302"/>
      <c r="K54" s="302"/>
      <c r="L54" s="303"/>
      <c r="M54" s="405">
        <f t="shared" si="14"/>
        <v>1000</v>
      </c>
    </row>
    <row r="55" spans="1:13" ht="15">
      <c r="A55" s="402">
        <v>5100</v>
      </c>
      <c r="B55" s="403" t="s">
        <v>139</v>
      </c>
      <c r="C55" s="302"/>
      <c r="D55" s="302"/>
      <c r="E55" s="302"/>
      <c r="F55" s="302"/>
      <c r="G55" s="302"/>
      <c r="H55" s="302"/>
      <c r="I55" s="302"/>
      <c r="J55" s="302"/>
      <c r="K55" s="302"/>
      <c r="L55" s="303"/>
      <c r="M55" s="405">
        <f>SUM(C55:L55)</f>
        <v>0</v>
      </c>
    </row>
    <row r="56" spans="1:13" ht="15">
      <c r="A56" s="402">
        <v>5200</v>
      </c>
      <c r="B56" s="403" t="s">
        <v>140</v>
      </c>
      <c r="C56" s="302">
        <v>27287</v>
      </c>
      <c r="D56" s="302">
        <v>6655</v>
      </c>
      <c r="E56" s="302"/>
      <c r="F56" s="302"/>
      <c r="G56" s="302">
        <v>407</v>
      </c>
      <c r="H56" s="302">
        <v>60652</v>
      </c>
      <c r="I56" s="302"/>
      <c r="J56" s="302">
        <v>500</v>
      </c>
      <c r="K56" s="302"/>
      <c r="L56" s="303">
        <v>1500</v>
      </c>
      <c r="M56" s="405">
        <f t="shared" si="14"/>
        <v>97001</v>
      </c>
    </row>
    <row r="57" spans="1:13" ht="30.75" customHeight="1" thickBot="1">
      <c r="A57" s="402">
        <v>7200</v>
      </c>
      <c r="B57" s="407" t="s">
        <v>549</v>
      </c>
      <c r="C57" s="408"/>
      <c r="D57" s="409"/>
      <c r="E57" s="409"/>
      <c r="F57" s="409"/>
      <c r="G57" s="409"/>
      <c r="H57" s="409"/>
      <c r="I57" s="409"/>
      <c r="J57" s="409"/>
      <c r="K57" s="409"/>
      <c r="L57" s="410"/>
      <c r="M57" s="405">
        <f t="shared" si="14"/>
        <v>0</v>
      </c>
    </row>
    <row r="58" spans="1:13" ht="15.75" thickBot="1">
      <c r="A58" s="411"/>
      <c r="B58" s="412" t="s">
        <v>142</v>
      </c>
      <c r="C58" s="396">
        <f aca="true" t="shared" si="15" ref="C58:M58">SUM(C47:C49,C54:C57)</f>
        <v>115700</v>
      </c>
      <c r="D58" s="396">
        <f t="shared" si="15"/>
        <v>574984</v>
      </c>
      <c r="E58" s="396">
        <f t="shared" si="15"/>
        <v>71954</v>
      </c>
      <c r="F58" s="396">
        <f t="shared" si="15"/>
        <v>39928</v>
      </c>
      <c r="G58" s="396">
        <f t="shared" si="15"/>
        <v>46123</v>
      </c>
      <c r="H58" s="396">
        <f t="shared" si="15"/>
        <v>125696</v>
      </c>
      <c r="I58" s="396">
        <f t="shared" si="15"/>
        <v>68711</v>
      </c>
      <c r="J58" s="396">
        <f t="shared" si="15"/>
        <v>42647</v>
      </c>
      <c r="K58" s="396">
        <f t="shared" si="15"/>
        <v>30761</v>
      </c>
      <c r="L58" s="343">
        <f t="shared" si="15"/>
        <v>46143</v>
      </c>
      <c r="M58" s="320">
        <f t="shared" si="15"/>
        <v>1162647</v>
      </c>
    </row>
    <row r="59" ht="15">
      <c r="B59" s="276"/>
    </row>
    <row r="60" spans="1:13" s="334" customFormat="1" ht="15.75">
      <c r="A60" s="413"/>
      <c r="B60" s="414" t="s">
        <v>295</v>
      </c>
      <c r="C60" s="415"/>
      <c r="D60" s="416"/>
      <c r="E60" s="413"/>
      <c r="F60" s="417" t="s">
        <v>17</v>
      </c>
      <c r="M60" s="418"/>
    </row>
    <row r="67" spans="1:4" ht="20.25">
      <c r="A67" s="548"/>
      <c r="B67" s="548"/>
      <c r="C67" s="548"/>
      <c r="D67" s="419"/>
    </row>
    <row r="68" spans="1:4" ht="15">
      <c r="A68" s="280"/>
      <c r="B68" s="283"/>
      <c r="C68" s="280"/>
      <c r="D68" s="280"/>
    </row>
    <row r="69" spans="1:5" ht="15">
      <c r="A69" s="420"/>
      <c r="B69" s="421"/>
      <c r="C69" s="422"/>
      <c r="D69" s="422"/>
      <c r="E69" s="295"/>
    </row>
    <row r="70" spans="1:4" ht="15">
      <c r="A70" s="420"/>
      <c r="B70" s="421"/>
      <c r="C70" s="423"/>
      <c r="D70" s="423"/>
    </row>
    <row r="71" ht="15">
      <c r="B71" s="424"/>
    </row>
    <row r="72" ht="15">
      <c r="B72" s="424"/>
    </row>
    <row r="73" ht="15">
      <c r="B73" s="424"/>
    </row>
    <row r="74" spans="1:2" ht="15">
      <c r="A74" s="420"/>
      <c r="B74" s="421"/>
    </row>
    <row r="75" spans="1:2" ht="15">
      <c r="A75" s="420"/>
      <c r="B75" s="421"/>
    </row>
    <row r="76" spans="1:2" ht="15">
      <c r="A76" s="425"/>
      <c r="B76" s="426"/>
    </row>
  </sheetData>
  <sheetProtection/>
  <mergeCells count="3">
    <mergeCell ref="A23:F23"/>
    <mergeCell ref="A45:G45"/>
    <mergeCell ref="A67:C67"/>
  </mergeCells>
  <printOptions/>
  <pageMargins left="0.5905511811023623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27.421875" style="427" customWidth="1"/>
    <col min="2" max="2" width="14.57421875" style="427" customWidth="1"/>
    <col min="3" max="3" width="13.421875" style="427" customWidth="1"/>
    <col min="4" max="4" width="12.28125" style="427" customWidth="1"/>
    <col min="5" max="5" width="13.00390625" style="427" customWidth="1"/>
    <col min="6" max="6" width="12.00390625" style="427" customWidth="1"/>
    <col min="7" max="16384" width="9.140625" style="427" customWidth="1"/>
  </cols>
  <sheetData>
    <row r="1" spans="1:5" ht="18.75" customHeight="1">
      <c r="A1" s="551" t="s">
        <v>550</v>
      </c>
      <c r="B1" s="551"/>
      <c r="C1" s="551"/>
      <c r="D1" s="551"/>
      <c r="E1" s="551"/>
    </row>
    <row r="2" spans="1:5" ht="18.75" customHeight="1">
      <c r="A2" s="551" t="s">
        <v>551</v>
      </c>
      <c r="B2" s="551"/>
      <c r="C2" s="551"/>
      <c r="D2" s="551"/>
      <c r="E2" s="551"/>
    </row>
    <row r="3" spans="1:5" ht="18.75" customHeight="1">
      <c r="A3" s="559"/>
      <c r="B3" s="559"/>
      <c r="C3" s="559"/>
      <c r="D3" s="559"/>
      <c r="E3" s="559"/>
    </row>
    <row r="4" spans="1:5" ht="36.75" customHeight="1">
      <c r="A4" s="552" t="s">
        <v>552</v>
      </c>
      <c r="B4" s="552" t="s">
        <v>553</v>
      </c>
      <c r="C4" s="552" t="s">
        <v>522</v>
      </c>
      <c r="D4" s="552" t="s">
        <v>554</v>
      </c>
      <c r="E4" s="552" t="s">
        <v>555</v>
      </c>
    </row>
    <row r="5" spans="1:5" ht="18" customHeight="1">
      <c r="A5" s="553"/>
      <c r="B5" s="553"/>
      <c r="C5" s="553"/>
      <c r="D5" s="553"/>
      <c r="E5" s="553"/>
    </row>
    <row r="6" spans="1:5" ht="18" customHeight="1">
      <c r="A6" s="428" t="s">
        <v>556</v>
      </c>
      <c r="B6" s="429">
        <v>5000</v>
      </c>
      <c r="C6" s="429">
        <v>63864</v>
      </c>
      <c r="D6" s="429"/>
      <c r="E6" s="429">
        <f aca="true" t="shared" si="0" ref="E6:E16">SUM(B6:D6)</f>
        <v>68864</v>
      </c>
    </row>
    <row r="7" spans="1:5" ht="24" customHeight="1">
      <c r="A7" s="430" t="s">
        <v>557</v>
      </c>
      <c r="B7" s="431">
        <v>1058</v>
      </c>
      <c r="C7" s="432">
        <v>87308</v>
      </c>
      <c r="D7" s="431"/>
      <c r="E7" s="433">
        <f t="shared" si="0"/>
        <v>88366</v>
      </c>
    </row>
    <row r="8" spans="1:5" s="434" customFormat="1" ht="15.75">
      <c r="A8" s="428" t="s">
        <v>558</v>
      </c>
      <c r="B8" s="429">
        <f>SUM(B6:B7)</f>
        <v>6058</v>
      </c>
      <c r="C8" s="429">
        <f>SUM(C6:C7)</f>
        <v>151172</v>
      </c>
      <c r="D8" s="429">
        <f>SUM(D6:D7)</f>
        <v>0</v>
      </c>
      <c r="E8" s="429">
        <f t="shared" si="0"/>
        <v>157230</v>
      </c>
    </row>
    <row r="9" spans="1:5" ht="15.75">
      <c r="A9" s="435" t="s">
        <v>559</v>
      </c>
      <c r="B9" s="436">
        <f>SUM(B10:B16)</f>
        <v>6058</v>
      </c>
      <c r="C9" s="436">
        <f>SUM(C10:C16)</f>
        <v>109642</v>
      </c>
      <c r="D9" s="436">
        <f>SUM(D10:D16)</f>
        <v>0</v>
      </c>
      <c r="E9" s="436">
        <f t="shared" si="0"/>
        <v>115700</v>
      </c>
    </row>
    <row r="10" spans="1:5" ht="15.75">
      <c r="A10" s="437" t="s">
        <v>560</v>
      </c>
      <c r="B10" s="438">
        <v>3600</v>
      </c>
      <c r="C10" s="438"/>
      <c r="D10" s="439"/>
      <c r="E10" s="440">
        <f t="shared" si="0"/>
        <v>3600</v>
      </c>
    </row>
    <row r="11" spans="1:5" ht="15.75">
      <c r="A11" s="437" t="s">
        <v>561</v>
      </c>
      <c r="B11" s="438">
        <v>868</v>
      </c>
      <c r="C11" s="438"/>
      <c r="D11" s="439"/>
      <c r="E11" s="440">
        <f t="shared" si="0"/>
        <v>868</v>
      </c>
    </row>
    <row r="12" spans="1:5" ht="15.75">
      <c r="A12" s="437">
        <v>2200</v>
      </c>
      <c r="B12" s="438">
        <v>1590</v>
      </c>
      <c r="C12" s="438">
        <f>65355+847+15000</f>
        <v>81202</v>
      </c>
      <c r="D12" s="439"/>
      <c r="E12" s="440">
        <f t="shared" si="0"/>
        <v>82792</v>
      </c>
    </row>
    <row r="13" spans="1:5" ht="15.75">
      <c r="A13" s="437">
        <v>2300</v>
      </c>
      <c r="B13" s="441"/>
      <c r="C13" s="438">
        <v>153</v>
      </c>
      <c r="D13" s="442"/>
      <c r="E13" s="440">
        <f t="shared" si="0"/>
        <v>153</v>
      </c>
    </row>
    <row r="14" spans="1:5" ht="15.75">
      <c r="A14" s="437">
        <v>2500</v>
      </c>
      <c r="B14" s="441"/>
      <c r="C14" s="438"/>
      <c r="D14" s="442"/>
      <c r="E14" s="440">
        <f t="shared" si="0"/>
        <v>0</v>
      </c>
    </row>
    <row r="15" spans="1:5" ht="15.75">
      <c r="A15" s="437">
        <v>3200</v>
      </c>
      <c r="B15" s="441"/>
      <c r="C15" s="438">
        <v>1000</v>
      </c>
      <c r="D15" s="442"/>
      <c r="E15" s="440">
        <f t="shared" si="0"/>
        <v>1000</v>
      </c>
    </row>
    <row r="16" spans="1:5" ht="15.75">
      <c r="A16" s="437">
        <v>5200</v>
      </c>
      <c r="B16" s="441"/>
      <c r="C16" s="438">
        <v>27287</v>
      </c>
      <c r="D16" s="442"/>
      <c r="E16" s="440">
        <f t="shared" si="0"/>
        <v>27287</v>
      </c>
    </row>
    <row r="17" spans="1:5" ht="15.75">
      <c r="A17" s="443" t="s">
        <v>562</v>
      </c>
      <c r="B17" s="444">
        <f>B8-B9</f>
        <v>0</v>
      </c>
      <c r="C17" s="444">
        <f>C8-C9</f>
        <v>41530</v>
      </c>
      <c r="D17" s="444">
        <f>D8-D9</f>
        <v>0</v>
      </c>
      <c r="E17" s="444">
        <f>E8-E9</f>
        <v>41530</v>
      </c>
    </row>
    <row r="20" spans="1:5" ht="15.75">
      <c r="A20" s="445" t="s">
        <v>295</v>
      </c>
      <c r="E20" s="445" t="s">
        <v>563</v>
      </c>
    </row>
    <row r="21" spans="1:5" ht="15.75">
      <c r="A21" s="445"/>
      <c r="E21" s="445"/>
    </row>
    <row r="22" spans="1:5" ht="15.75">
      <c r="A22" s="445"/>
      <c r="E22" s="445"/>
    </row>
    <row r="23" spans="1:5" s="446" customFormat="1" ht="18.75">
      <c r="A23" s="556" t="s">
        <v>564</v>
      </c>
      <c r="B23" s="556"/>
      <c r="C23" s="556"/>
      <c r="D23" s="556"/>
      <c r="E23" s="556"/>
    </row>
    <row r="24" spans="1:5" s="446" customFormat="1" ht="18.75">
      <c r="A24" s="551" t="s">
        <v>551</v>
      </c>
      <c r="B24" s="551"/>
      <c r="C24" s="551"/>
      <c r="D24" s="551"/>
      <c r="E24" s="551"/>
    </row>
    <row r="25" spans="1:5" s="446" customFormat="1" ht="18.75">
      <c r="A25" s="447"/>
      <c r="B25" s="447"/>
      <c r="C25" s="447"/>
      <c r="D25" s="447"/>
      <c r="E25" s="447"/>
    </row>
    <row r="26" spans="1:5" s="446" customFormat="1" ht="12.75">
      <c r="A26" s="557" t="s">
        <v>552</v>
      </c>
      <c r="B26" s="557" t="s">
        <v>553</v>
      </c>
      <c r="C26" s="557" t="s">
        <v>522</v>
      </c>
      <c r="D26" s="557" t="s">
        <v>554</v>
      </c>
      <c r="E26" s="557" t="s">
        <v>565</v>
      </c>
    </row>
    <row r="27" spans="1:5" s="446" customFormat="1" ht="37.5" customHeight="1">
      <c r="A27" s="558"/>
      <c r="B27" s="558"/>
      <c r="C27" s="558"/>
      <c r="D27" s="558"/>
      <c r="E27" s="558"/>
    </row>
    <row r="28" spans="1:5" s="446" customFormat="1" ht="15.75">
      <c r="A28" s="428" t="s">
        <v>556</v>
      </c>
      <c r="B28" s="448">
        <v>567497</v>
      </c>
      <c r="C28" s="448"/>
      <c r="D28" s="448"/>
      <c r="E28" s="448">
        <f aca="true" t="shared" si="1" ref="E28:E33">SUM(B28:D28)</f>
        <v>567497</v>
      </c>
    </row>
    <row r="29" spans="1:5" s="446" customFormat="1" ht="15.75">
      <c r="A29" s="430" t="s">
        <v>557</v>
      </c>
      <c r="B29" s="449">
        <v>7487</v>
      </c>
      <c r="C29" s="450"/>
      <c r="D29" s="449"/>
      <c r="E29" s="451">
        <f t="shared" si="1"/>
        <v>7487</v>
      </c>
    </row>
    <row r="30" spans="1:5" s="446" customFormat="1" ht="15.75">
      <c r="A30" s="428" t="s">
        <v>558</v>
      </c>
      <c r="B30" s="448">
        <f>SUM(B28:B29)</f>
        <v>574984</v>
      </c>
      <c r="C30" s="448">
        <f>SUM(C28:C29)</f>
        <v>0</v>
      </c>
      <c r="D30" s="448">
        <f>SUM(D28:D29)</f>
        <v>0</v>
      </c>
      <c r="E30" s="448">
        <f t="shared" si="1"/>
        <v>574984</v>
      </c>
    </row>
    <row r="31" spans="1:5" s="446" customFormat="1" ht="15.75">
      <c r="A31" s="435" t="s">
        <v>559</v>
      </c>
      <c r="B31" s="452">
        <f>SUM(B32:B33)</f>
        <v>574984</v>
      </c>
      <c r="C31" s="452">
        <f>SUM(C32:C33)</f>
        <v>0</v>
      </c>
      <c r="D31" s="452">
        <f>SUM(D32:D33)</f>
        <v>0</v>
      </c>
      <c r="E31" s="452">
        <f t="shared" si="1"/>
        <v>574984</v>
      </c>
    </row>
    <row r="32" spans="1:5" s="446" customFormat="1" ht="15">
      <c r="A32" s="453">
        <v>2200</v>
      </c>
      <c r="B32" s="454">
        <v>568329</v>
      </c>
      <c r="C32" s="454"/>
      <c r="D32" s="454"/>
      <c r="E32" s="455">
        <f t="shared" si="1"/>
        <v>568329</v>
      </c>
    </row>
    <row r="33" spans="1:5" s="446" customFormat="1" ht="15">
      <c r="A33" s="453">
        <v>5200</v>
      </c>
      <c r="B33" s="454">
        <v>6655</v>
      </c>
      <c r="C33" s="456"/>
      <c r="D33" s="454"/>
      <c r="E33" s="455">
        <f t="shared" si="1"/>
        <v>6655</v>
      </c>
    </row>
    <row r="34" spans="1:5" s="446" customFormat="1" ht="15.75">
      <c r="A34" s="443" t="s">
        <v>562</v>
      </c>
      <c r="B34" s="452">
        <f>B30-B31</f>
        <v>0</v>
      </c>
      <c r="C34" s="457">
        <f>C30-C31</f>
        <v>0</v>
      </c>
      <c r="D34" s="457">
        <f>D30-D31</f>
        <v>0</v>
      </c>
      <c r="E34" s="448">
        <f>E30-E31</f>
        <v>0</v>
      </c>
    </row>
    <row r="35" spans="1:5" s="446" customFormat="1" ht="15.75">
      <c r="A35" s="555" t="s">
        <v>566</v>
      </c>
      <c r="B35" s="555"/>
      <c r="C35" s="555"/>
      <c r="D35" s="555"/>
      <c r="E35" s="555"/>
    </row>
    <row r="36" spans="1:5" ht="15.75">
      <c r="A36" s="445"/>
      <c r="E36" s="445"/>
    </row>
    <row r="37" spans="1:5" ht="18.75">
      <c r="A37" s="550" t="s">
        <v>567</v>
      </c>
      <c r="B37" s="550"/>
      <c r="C37" s="550"/>
      <c r="D37" s="550"/>
      <c r="E37" s="550"/>
    </row>
    <row r="38" spans="1:5" ht="18.75">
      <c r="A38" s="551" t="s">
        <v>551</v>
      </c>
      <c r="B38" s="551"/>
      <c r="C38" s="551"/>
      <c r="D38" s="551"/>
      <c r="E38" s="551"/>
    </row>
    <row r="39" spans="1:5" ht="18.75">
      <c r="A39" s="458"/>
      <c r="B39" s="458"/>
      <c r="C39" s="458"/>
      <c r="D39" s="458"/>
      <c r="E39" s="458"/>
    </row>
    <row r="40" spans="1:5" ht="12.75" customHeight="1">
      <c r="A40" s="552" t="s">
        <v>552</v>
      </c>
      <c r="B40" s="552" t="s">
        <v>553</v>
      </c>
      <c r="C40" s="552" t="s">
        <v>522</v>
      </c>
      <c r="D40" s="552" t="s">
        <v>554</v>
      </c>
      <c r="E40" s="552" t="s">
        <v>565</v>
      </c>
    </row>
    <row r="41" spans="1:5" ht="33" customHeight="1">
      <c r="A41" s="553"/>
      <c r="B41" s="553"/>
      <c r="C41" s="553"/>
      <c r="D41" s="553"/>
      <c r="E41" s="553"/>
    </row>
    <row r="42" spans="1:5" ht="15.75">
      <c r="A42" s="428" t="s">
        <v>556</v>
      </c>
      <c r="B42" s="429">
        <v>58390</v>
      </c>
      <c r="C42" s="429">
        <v>2898</v>
      </c>
      <c r="D42" s="429"/>
      <c r="E42" s="429">
        <f aca="true" t="shared" si="2" ref="E42:E49">SUM(B42:D42)</f>
        <v>61288</v>
      </c>
    </row>
    <row r="43" spans="1:5" ht="15.75">
      <c r="A43" s="430" t="s">
        <v>557</v>
      </c>
      <c r="B43" s="449">
        <v>13211</v>
      </c>
      <c r="C43" s="450">
        <v>7509</v>
      </c>
      <c r="D43" s="449"/>
      <c r="E43" s="433">
        <f t="shared" si="2"/>
        <v>20720</v>
      </c>
    </row>
    <row r="44" spans="1:5" ht="15.75">
      <c r="A44" s="428" t="s">
        <v>558</v>
      </c>
      <c r="B44" s="429">
        <f>SUM(B42:B43)</f>
        <v>71601</v>
      </c>
      <c r="C44" s="429">
        <f>SUM(C42:C43)</f>
        <v>10407</v>
      </c>
      <c r="D44" s="429">
        <f>SUM(D42:D43)</f>
        <v>0</v>
      </c>
      <c r="E44" s="429">
        <f t="shared" si="2"/>
        <v>82008</v>
      </c>
    </row>
    <row r="45" spans="1:5" ht="15.75">
      <c r="A45" s="435" t="s">
        <v>559</v>
      </c>
      <c r="B45" s="436">
        <f>SUM(B46:B49)</f>
        <v>65199</v>
      </c>
      <c r="C45" s="436">
        <f>SUM(C46:C49)</f>
        <v>6755</v>
      </c>
      <c r="D45" s="436">
        <f>SUM(D46:D49)</f>
        <v>0</v>
      </c>
      <c r="E45" s="436">
        <f t="shared" si="2"/>
        <v>71954</v>
      </c>
    </row>
    <row r="46" spans="1:5" ht="15">
      <c r="A46" s="459" t="s">
        <v>560</v>
      </c>
      <c r="B46" s="460">
        <v>9728</v>
      </c>
      <c r="C46" s="460"/>
      <c r="D46" s="454"/>
      <c r="E46" s="461">
        <f t="shared" si="2"/>
        <v>9728</v>
      </c>
    </row>
    <row r="47" spans="1:5" ht="15">
      <c r="A47" s="459" t="s">
        <v>561</v>
      </c>
      <c r="B47" s="460">
        <v>2943</v>
      </c>
      <c r="C47" s="460"/>
      <c r="D47" s="454"/>
      <c r="E47" s="461">
        <f t="shared" si="2"/>
        <v>2943</v>
      </c>
    </row>
    <row r="48" spans="1:5" ht="15">
      <c r="A48" s="459">
        <v>2200</v>
      </c>
      <c r="B48" s="460">
        <v>35563</v>
      </c>
      <c r="C48" s="460">
        <v>2500</v>
      </c>
      <c r="D48" s="454"/>
      <c r="E48" s="461">
        <f t="shared" si="2"/>
        <v>38063</v>
      </c>
    </row>
    <row r="49" spans="1:5" ht="15">
      <c r="A49" s="459">
        <v>2300</v>
      </c>
      <c r="B49" s="460">
        <v>16965</v>
      </c>
      <c r="C49" s="460">
        <v>4255</v>
      </c>
      <c r="D49" s="454"/>
      <c r="E49" s="461">
        <f t="shared" si="2"/>
        <v>21220</v>
      </c>
    </row>
    <row r="50" spans="1:5" ht="15.75">
      <c r="A50" s="443" t="s">
        <v>562</v>
      </c>
      <c r="B50" s="436">
        <f>B44-B45</f>
        <v>6402</v>
      </c>
      <c r="C50" s="444">
        <f>C44-C45</f>
        <v>3652</v>
      </c>
      <c r="D50" s="444">
        <f>D44-D45</f>
        <v>0</v>
      </c>
      <c r="E50" s="429">
        <f>E44-E45</f>
        <v>10054</v>
      </c>
    </row>
    <row r="51" spans="1:5" ht="15.75">
      <c r="A51" s="549" t="s">
        <v>568</v>
      </c>
      <c r="B51" s="549"/>
      <c r="C51" s="549"/>
      <c r="D51" s="549"/>
      <c r="E51" s="549"/>
    </row>
    <row r="52" spans="1:5" ht="15.75">
      <c r="A52" s="462"/>
      <c r="B52" s="462"/>
      <c r="C52" s="462"/>
      <c r="D52" s="462"/>
      <c r="E52" s="462"/>
    </row>
    <row r="53" spans="1:5" ht="18.75">
      <c r="A53" s="550" t="s">
        <v>569</v>
      </c>
      <c r="B53" s="550"/>
      <c r="C53" s="550"/>
      <c r="D53" s="550"/>
      <c r="E53" s="550"/>
    </row>
    <row r="54" spans="1:5" ht="18.75">
      <c r="A54" s="551" t="s">
        <v>551</v>
      </c>
      <c r="B54" s="551"/>
      <c r="C54" s="551"/>
      <c r="D54" s="551"/>
      <c r="E54" s="551"/>
    </row>
    <row r="55" spans="1:5" ht="12.75" customHeight="1">
      <c r="A55" s="552" t="s">
        <v>552</v>
      </c>
      <c r="B55" s="552" t="s">
        <v>553</v>
      </c>
      <c r="C55" s="552" t="s">
        <v>522</v>
      </c>
      <c r="D55" s="552" t="s">
        <v>554</v>
      </c>
      <c r="E55" s="552" t="s">
        <v>565</v>
      </c>
    </row>
    <row r="56" spans="1:5" ht="30" customHeight="1">
      <c r="A56" s="553"/>
      <c r="B56" s="553"/>
      <c r="C56" s="553"/>
      <c r="D56" s="553"/>
      <c r="E56" s="553"/>
    </row>
    <row r="57" spans="1:5" ht="17.25" customHeight="1">
      <c r="A57" s="428" t="s">
        <v>556</v>
      </c>
      <c r="B57" s="429">
        <v>64939</v>
      </c>
      <c r="C57" s="429">
        <v>12762</v>
      </c>
      <c r="D57" s="429"/>
      <c r="E57" s="429">
        <f aca="true" t="shared" si="3" ref="E57:E66">SUM(B57:D57)</f>
        <v>77701</v>
      </c>
    </row>
    <row r="58" spans="1:5" ht="15.75">
      <c r="A58" s="430" t="s">
        <v>557</v>
      </c>
      <c r="B58" s="449">
        <v>3772</v>
      </c>
      <c r="C58" s="450">
        <v>44223</v>
      </c>
      <c r="D58" s="449"/>
      <c r="E58" s="433">
        <f t="shared" si="3"/>
        <v>47995</v>
      </c>
    </row>
    <row r="59" spans="1:5" ht="15.75">
      <c r="A59" s="428" t="s">
        <v>558</v>
      </c>
      <c r="B59" s="429">
        <f>SUM(B57:B58)</f>
        <v>68711</v>
      </c>
      <c r="C59" s="429">
        <f>SUM(C57:C58)</f>
        <v>56985</v>
      </c>
      <c r="D59" s="429">
        <f>SUM(D57:D58)</f>
        <v>0</v>
      </c>
      <c r="E59" s="429">
        <f t="shared" si="3"/>
        <v>125696</v>
      </c>
    </row>
    <row r="60" spans="1:5" ht="15.75">
      <c r="A60" s="435" t="s">
        <v>559</v>
      </c>
      <c r="B60" s="436">
        <f>SUM(B61:B66)</f>
        <v>68711</v>
      </c>
      <c r="C60" s="436">
        <f>SUM(C61:C66)</f>
        <v>56985</v>
      </c>
      <c r="D60" s="436">
        <f>SUM(D61:D66)</f>
        <v>0</v>
      </c>
      <c r="E60" s="436">
        <f t="shared" si="3"/>
        <v>125696</v>
      </c>
    </row>
    <row r="61" spans="1:5" ht="15">
      <c r="A61" s="459" t="s">
        <v>560</v>
      </c>
      <c r="B61" s="460">
        <v>12189</v>
      </c>
      <c r="C61" s="460"/>
      <c r="D61" s="454"/>
      <c r="E61" s="461">
        <f t="shared" si="3"/>
        <v>12189</v>
      </c>
    </row>
    <row r="62" spans="1:5" ht="15">
      <c r="A62" s="459" t="s">
        <v>561</v>
      </c>
      <c r="B62" s="460">
        <v>3536</v>
      </c>
      <c r="C62" s="460"/>
      <c r="D62" s="454"/>
      <c r="E62" s="461">
        <f t="shared" si="3"/>
        <v>3536</v>
      </c>
    </row>
    <row r="63" spans="1:5" ht="15">
      <c r="A63" s="459">
        <v>2200</v>
      </c>
      <c r="B63" s="460">
        <v>23527</v>
      </c>
      <c r="C63" s="460">
        <v>4800</v>
      </c>
      <c r="D63" s="454"/>
      <c r="E63" s="461">
        <f t="shared" si="3"/>
        <v>28327</v>
      </c>
    </row>
    <row r="64" spans="1:5" ht="15">
      <c r="A64" s="459">
        <v>2300</v>
      </c>
      <c r="B64" s="460">
        <v>18492</v>
      </c>
      <c r="C64" s="460">
        <v>500</v>
      </c>
      <c r="D64" s="454"/>
      <c r="E64" s="461">
        <f t="shared" si="3"/>
        <v>18992</v>
      </c>
    </row>
    <row r="65" spans="1:5" ht="15">
      <c r="A65" s="459">
        <v>2500</v>
      </c>
      <c r="B65" s="460">
        <v>2000</v>
      </c>
      <c r="C65" s="460"/>
      <c r="D65" s="454"/>
      <c r="E65" s="461"/>
    </row>
    <row r="66" spans="1:5" ht="15">
      <c r="A66" s="459">
        <v>5200</v>
      </c>
      <c r="B66" s="460">
        <v>8967</v>
      </c>
      <c r="C66" s="460">
        <v>51685</v>
      </c>
      <c r="D66" s="454"/>
      <c r="E66" s="461">
        <f t="shared" si="3"/>
        <v>60652</v>
      </c>
    </row>
    <row r="67" spans="1:5" ht="15.75">
      <c r="A67" s="443" t="s">
        <v>562</v>
      </c>
      <c r="B67" s="436">
        <f>B59-B60</f>
        <v>0</v>
      </c>
      <c r="C67" s="444">
        <f>C59-C60</f>
        <v>0</v>
      </c>
      <c r="D67" s="444">
        <f>D59-D60</f>
        <v>0</v>
      </c>
      <c r="E67" s="429">
        <f>E59-E60</f>
        <v>0</v>
      </c>
    </row>
    <row r="68" spans="1:5" ht="15.75">
      <c r="A68" s="549" t="s">
        <v>570</v>
      </c>
      <c r="B68" s="549"/>
      <c r="C68" s="549"/>
      <c r="D68" s="549"/>
      <c r="E68" s="549"/>
    </row>
    <row r="69" spans="1:5" ht="18.75">
      <c r="A69" s="550" t="s">
        <v>571</v>
      </c>
      <c r="B69" s="550"/>
      <c r="C69" s="550"/>
      <c r="D69" s="550"/>
      <c r="E69" s="550"/>
    </row>
    <row r="70" spans="1:5" ht="18.75">
      <c r="A70" s="551" t="s">
        <v>551</v>
      </c>
      <c r="B70" s="551"/>
      <c r="C70" s="551"/>
      <c r="D70" s="551"/>
      <c r="E70" s="551"/>
    </row>
    <row r="71" spans="1:5" ht="12.75" customHeight="1">
      <c r="A71" s="552" t="s">
        <v>552</v>
      </c>
      <c r="B71" s="552" t="s">
        <v>553</v>
      </c>
      <c r="C71" s="552" t="s">
        <v>522</v>
      </c>
      <c r="D71" s="552" t="s">
        <v>554</v>
      </c>
      <c r="E71" s="552" t="s">
        <v>565</v>
      </c>
    </row>
    <row r="72" spans="1:5" ht="28.5" customHeight="1">
      <c r="A72" s="553"/>
      <c r="B72" s="553"/>
      <c r="C72" s="553"/>
      <c r="D72" s="553"/>
      <c r="E72" s="553"/>
    </row>
    <row r="73" spans="1:5" ht="15.75">
      <c r="A73" s="428" t="s">
        <v>556</v>
      </c>
      <c r="B73" s="429">
        <v>30025</v>
      </c>
      <c r="C73" s="429">
        <v>1053</v>
      </c>
      <c r="D73" s="429"/>
      <c r="E73" s="429">
        <f aca="true" t="shared" si="4" ref="E73:E80">SUM(B73:D73)</f>
        <v>31078</v>
      </c>
    </row>
    <row r="74" spans="1:5" ht="15.75">
      <c r="A74" s="430" t="s">
        <v>557</v>
      </c>
      <c r="B74" s="449">
        <v>11497</v>
      </c>
      <c r="C74" s="450">
        <v>5447</v>
      </c>
      <c r="D74" s="449"/>
      <c r="E74" s="433">
        <f t="shared" si="4"/>
        <v>16944</v>
      </c>
    </row>
    <row r="75" spans="1:5" ht="15.75">
      <c r="A75" s="428" t="s">
        <v>558</v>
      </c>
      <c r="B75" s="429">
        <f>SUM(B73:B74)</f>
        <v>41522</v>
      </c>
      <c r="C75" s="429">
        <f>SUM(C73:C74)</f>
        <v>6500</v>
      </c>
      <c r="D75" s="429">
        <f>SUM(D73:D74)</f>
        <v>0</v>
      </c>
      <c r="E75" s="429">
        <f t="shared" si="4"/>
        <v>48022</v>
      </c>
    </row>
    <row r="76" spans="1:5" ht="15.75">
      <c r="A76" s="435" t="s">
        <v>559</v>
      </c>
      <c r="B76" s="436">
        <f>SUM(B77:B80)</f>
        <v>30686</v>
      </c>
      <c r="C76" s="436">
        <f>SUM(C77:C80)</f>
        <v>75</v>
      </c>
      <c r="D76" s="436">
        <f>SUM(D77:D80)</f>
        <v>0</v>
      </c>
      <c r="E76" s="436">
        <f t="shared" si="4"/>
        <v>30761</v>
      </c>
    </row>
    <row r="77" spans="1:5" ht="15">
      <c r="A77" s="459" t="s">
        <v>560</v>
      </c>
      <c r="B77" s="460">
        <v>7000</v>
      </c>
      <c r="C77" s="460"/>
      <c r="D77" s="454"/>
      <c r="E77" s="461">
        <f t="shared" si="4"/>
        <v>7000</v>
      </c>
    </row>
    <row r="78" spans="1:5" ht="15">
      <c r="A78" s="459" t="s">
        <v>561</v>
      </c>
      <c r="B78" s="460">
        <v>1686</v>
      </c>
      <c r="C78" s="460"/>
      <c r="D78" s="454"/>
      <c r="E78" s="461">
        <f t="shared" si="4"/>
        <v>1686</v>
      </c>
    </row>
    <row r="79" spans="1:5" ht="15">
      <c r="A79" s="459">
        <v>2200</v>
      </c>
      <c r="B79" s="460">
        <v>20000</v>
      </c>
      <c r="C79" s="460">
        <v>75</v>
      </c>
      <c r="D79" s="454"/>
      <c r="E79" s="461">
        <f t="shared" si="4"/>
        <v>20075</v>
      </c>
    </row>
    <row r="80" spans="1:5" ht="15">
      <c r="A80" s="459">
        <v>2300</v>
      </c>
      <c r="B80" s="460">
        <v>2000</v>
      </c>
      <c r="C80" s="460"/>
      <c r="D80" s="454"/>
      <c r="E80" s="461">
        <f t="shared" si="4"/>
        <v>2000</v>
      </c>
    </row>
    <row r="81" spans="1:5" ht="15.75">
      <c r="A81" s="443" t="s">
        <v>562</v>
      </c>
      <c r="B81" s="436">
        <f>B75-B76</f>
        <v>10836</v>
      </c>
      <c r="C81" s="444">
        <f>C75-C76</f>
        <v>6425</v>
      </c>
      <c r="D81" s="444">
        <f>D75-D76</f>
        <v>0</v>
      </c>
      <c r="E81" s="429">
        <f>E75-E76</f>
        <v>17261</v>
      </c>
    </row>
    <row r="82" spans="1:5" ht="15.75">
      <c r="A82" s="549" t="s">
        <v>572</v>
      </c>
      <c r="B82" s="549"/>
      <c r="C82" s="549"/>
      <c r="D82" s="549"/>
      <c r="E82" s="549"/>
    </row>
    <row r="83" spans="1:5" ht="9.75" customHeight="1">
      <c r="A83" s="462"/>
      <c r="B83" s="462"/>
      <c r="C83" s="462"/>
      <c r="D83" s="462"/>
      <c r="E83" s="462"/>
    </row>
    <row r="84" spans="1:5" ht="18.75">
      <c r="A84" s="550" t="s">
        <v>573</v>
      </c>
      <c r="B84" s="550"/>
      <c r="C84" s="550"/>
      <c r="D84" s="550"/>
      <c r="E84" s="550"/>
    </row>
    <row r="85" spans="1:5" ht="18.75">
      <c r="A85" s="551" t="s">
        <v>551</v>
      </c>
      <c r="B85" s="551"/>
      <c r="C85" s="551"/>
      <c r="D85" s="551"/>
      <c r="E85" s="551"/>
    </row>
    <row r="86" spans="1:5" ht="7.5" customHeight="1">
      <c r="A86" s="458"/>
      <c r="B86" s="458"/>
      <c r="C86" s="458"/>
      <c r="D86" s="458"/>
      <c r="E86" s="458"/>
    </row>
    <row r="87" spans="1:5" ht="12.75" customHeight="1">
      <c r="A87" s="552" t="s">
        <v>552</v>
      </c>
      <c r="B87" s="552" t="s">
        <v>553</v>
      </c>
      <c r="C87" s="552" t="s">
        <v>522</v>
      </c>
      <c r="D87" s="552" t="s">
        <v>554</v>
      </c>
      <c r="E87" s="552" t="s">
        <v>565</v>
      </c>
    </row>
    <row r="88" spans="1:5" ht="24.75" customHeight="1">
      <c r="A88" s="553"/>
      <c r="B88" s="553"/>
      <c r="C88" s="553"/>
      <c r="D88" s="553"/>
      <c r="E88" s="553"/>
    </row>
    <row r="89" spans="1:5" ht="15.75">
      <c r="A89" s="428" t="s">
        <v>556</v>
      </c>
      <c r="B89" s="429">
        <v>42241</v>
      </c>
      <c r="C89" s="429">
        <v>1044</v>
      </c>
      <c r="D89" s="429"/>
      <c r="E89" s="429">
        <f aca="true" t="shared" si="5" ref="E89:E97">SUM(B89:D89)</f>
        <v>43285</v>
      </c>
    </row>
    <row r="90" spans="1:5" ht="15.75">
      <c r="A90" s="430" t="s">
        <v>557</v>
      </c>
      <c r="B90" s="449">
        <v>1722</v>
      </c>
      <c r="C90" s="450">
        <v>1116</v>
      </c>
      <c r="D90" s="449"/>
      <c r="E90" s="433">
        <f t="shared" si="5"/>
        <v>2838</v>
      </c>
    </row>
    <row r="91" spans="1:5" ht="15.75">
      <c r="A91" s="428" t="s">
        <v>558</v>
      </c>
      <c r="B91" s="429">
        <f>SUM(B89:B90)</f>
        <v>43963</v>
      </c>
      <c r="C91" s="429">
        <f>SUM(C89:C90)</f>
        <v>2160</v>
      </c>
      <c r="D91" s="429">
        <f>SUM(D89:D90)</f>
        <v>0</v>
      </c>
      <c r="E91" s="429">
        <f t="shared" si="5"/>
        <v>46123</v>
      </c>
    </row>
    <row r="92" spans="1:5" ht="15.75">
      <c r="A92" s="435" t="s">
        <v>559</v>
      </c>
      <c r="B92" s="436">
        <f>SUM(B93:B97)</f>
        <v>43963</v>
      </c>
      <c r="C92" s="436">
        <f>SUM(C93:C97)</f>
        <v>2160</v>
      </c>
      <c r="D92" s="436">
        <f>SUM(D93:D97)</f>
        <v>0</v>
      </c>
      <c r="E92" s="436">
        <f t="shared" si="5"/>
        <v>46123</v>
      </c>
    </row>
    <row r="93" spans="1:5" ht="15">
      <c r="A93" s="459" t="s">
        <v>560</v>
      </c>
      <c r="B93" s="460">
        <v>14039</v>
      </c>
      <c r="C93" s="460"/>
      <c r="D93" s="454"/>
      <c r="E93" s="461">
        <f t="shared" si="5"/>
        <v>14039</v>
      </c>
    </row>
    <row r="94" spans="1:5" ht="15">
      <c r="A94" s="459" t="s">
        <v>561</v>
      </c>
      <c r="B94" s="460">
        <v>3948</v>
      </c>
      <c r="C94" s="460"/>
      <c r="D94" s="454"/>
      <c r="E94" s="461">
        <f t="shared" si="5"/>
        <v>3948</v>
      </c>
    </row>
    <row r="95" spans="1:5" ht="15">
      <c r="A95" s="459">
        <v>2200</v>
      </c>
      <c r="B95" s="460">
        <v>9935</v>
      </c>
      <c r="C95" s="460">
        <v>1037</v>
      </c>
      <c r="D95" s="454"/>
      <c r="E95" s="461">
        <f t="shared" si="5"/>
        <v>10972</v>
      </c>
    </row>
    <row r="96" spans="1:5" ht="15">
      <c r="A96" s="459">
        <v>2300</v>
      </c>
      <c r="B96" s="460">
        <v>16041</v>
      </c>
      <c r="C96" s="460">
        <v>716</v>
      </c>
      <c r="D96" s="454"/>
      <c r="E96" s="461">
        <f t="shared" si="5"/>
        <v>16757</v>
      </c>
    </row>
    <row r="97" spans="1:5" ht="15">
      <c r="A97" s="459">
        <v>5200</v>
      </c>
      <c r="B97" s="463"/>
      <c r="C97" s="460">
        <v>407</v>
      </c>
      <c r="D97" s="454"/>
      <c r="E97" s="461">
        <f t="shared" si="5"/>
        <v>407</v>
      </c>
    </row>
    <row r="98" spans="1:5" ht="15.75">
      <c r="A98" s="443" t="s">
        <v>562</v>
      </c>
      <c r="B98" s="436">
        <f>B91-B92</f>
        <v>0</v>
      </c>
      <c r="C98" s="444">
        <f>C91-C92</f>
        <v>0</v>
      </c>
      <c r="D98" s="444">
        <f>D91-D92</f>
        <v>0</v>
      </c>
      <c r="E98" s="429">
        <f>E91-E92</f>
        <v>0</v>
      </c>
    </row>
    <row r="99" spans="1:5" ht="15.75">
      <c r="A99" s="554" t="s">
        <v>574</v>
      </c>
      <c r="B99" s="554"/>
      <c r="C99" s="554"/>
      <c r="D99" s="554"/>
      <c r="E99" s="554"/>
    </row>
    <row r="100" spans="1:5" ht="18.75">
      <c r="A100" s="550" t="s">
        <v>575</v>
      </c>
      <c r="B100" s="550"/>
      <c r="C100" s="550"/>
      <c r="D100" s="550"/>
      <c r="E100" s="550"/>
    </row>
    <row r="101" spans="1:5" ht="18.75">
      <c r="A101" s="551" t="s">
        <v>551</v>
      </c>
      <c r="B101" s="551"/>
      <c r="C101" s="551"/>
      <c r="D101" s="551"/>
      <c r="E101" s="551"/>
    </row>
    <row r="102" spans="1:5" ht="18.75">
      <c r="A102" s="458"/>
      <c r="B102" s="458"/>
      <c r="C102" s="458"/>
      <c r="D102" s="458"/>
      <c r="E102" s="458"/>
    </row>
    <row r="103" spans="1:5" ht="12.75">
      <c r="A103" s="552" t="s">
        <v>552</v>
      </c>
      <c r="B103" s="552" t="s">
        <v>553</v>
      </c>
      <c r="C103" s="552" t="s">
        <v>522</v>
      </c>
      <c r="D103" s="552" t="s">
        <v>554</v>
      </c>
      <c r="E103" s="552" t="s">
        <v>565</v>
      </c>
    </row>
    <row r="104" spans="1:5" ht="19.5" customHeight="1">
      <c r="A104" s="553"/>
      <c r="B104" s="553"/>
      <c r="C104" s="553"/>
      <c r="D104" s="553"/>
      <c r="E104" s="553"/>
    </row>
    <row r="105" spans="1:5" ht="15.75">
      <c r="A105" s="428" t="s">
        <v>556</v>
      </c>
      <c r="B105" s="429">
        <v>42502</v>
      </c>
      <c r="C105" s="429">
        <v>3510</v>
      </c>
      <c r="D105" s="429"/>
      <c r="E105" s="429">
        <f aca="true" t="shared" si="6" ref="E105:E113">SUM(B105:D105)</f>
        <v>46012</v>
      </c>
    </row>
    <row r="106" spans="1:5" ht="15.75">
      <c r="A106" s="430" t="s">
        <v>557</v>
      </c>
      <c r="B106" s="449">
        <v>11176</v>
      </c>
      <c r="C106" s="450">
        <v>2101</v>
      </c>
      <c r="D106" s="449"/>
      <c r="E106" s="433">
        <f t="shared" si="6"/>
        <v>13277</v>
      </c>
    </row>
    <row r="107" spans="1:5" ht="15.75">
      <c r="A107" s="428" t="s">
        <v>558</v>
      </c>
      <c r="B107" s="429">
        <f>SUM(B105:B106)</f>
        <v>53678</v>
      </c>
      <c r="C107" s="429">
        <f>SUM(C105:C106)</f>
        <v>5611</v>
      </c>
      <c r="D107" s="429">
        <f>SUM(D105:D106)</f>
        <v>0</v>
      </c>
      <c r="E107" s="429">
        <f t="shared" si="6"/>
        <v>59289</v>
      </c>
    </row>
    <row r="108" spans="1:5" ht="15.75">
      <c r="A108" s="435" t="s">
        <v>559</v>
      </c>
      <c r="B108" s="436">
        <f>SUM(B109:B113)</f>
        <v>42643</v>
      </c>
      <c r="C108" s="436">
        <f>SUM(C109:C113)</f>
        <v>3500</v>
      </c>
      <c r="D108" s="436">
        <f>SUM(D109:D113)</f>
        <v>0</v>
      </c>
      <c r="E108" s="436">
        <f t="shared" si="6"/>
        <v>46143</v>
      </c>
    </row>
    <row r="109" spans="1:5" ht="15">
      <c r="A109" s="459" t="s">
        <v>560</v>
      </c>
      <c r="B109" s="460">
        <v>13567</v>
      </c>
      <c r="C109" s="460"/>
      <c r="D109" s="454"/>
      <c r="E109" s="461">
        <f t="shared" si="6"/>
        <v>13567</v>
      </c>
    </row>
    <row r="110" spans="1:5" ht="15">
      <c r="A110" s="459" t="s">
        <v>561</v>
      </c>
      <c r="B110" s="460">
        <v>4576</v>
      </c>
      <c r="C110" s="460"/>
      <c r="D110" s="454"/>
      <c r="E110" s="461">
        <f t="shared" si="6"/>
        <v>4576</v>
      </c>
    </row>
    <row r="111" spans="1:5" ht="15">
      <c r="A111" s="459">
        <v>2200</v>
      </c>
      <c r="B111" s="460">
        <v>8000</v>
      </c>
      <c r="C111" s="460">
        <v>3500</v>
      </c>
      <c r="D111" s="454"/>
      <c r="E111" s="461">
        <f t="shared" si="6"/>
        <v>11500</v>
      </c>
    </row>
    <row r="112" spans="1:5" ht="15">
      <c r="A112" s="459">
        <v>2300</v>
      </c>
      <c r="B112" s="460">
        <v>15000</v>
      </c>
      <c r="C112" s="460"/>
      <c r="D112" s="454"/>
      <c r="E112" s="461">
        <f t="shared" si="6"/>
        <v>15000</v>
      </c>
    </row>
    <row r="113" spans="1:5" ht="15">
      <c r="A113" s="459">
        <v>5200</v>
      </c>
      <c r="B113" s="460">
        <v>1500</v>
      </c>
      <c r="C113" s="463"/>
      <c r="D113" s="454"/>
      <c r="E113" s="461">
        <f t="shared" si="6"/>
        <v>1500</v>
      </c>
    </row>
    <row r="114" spans="1:5" ht="15.75">
      <c r="A114" s="443" t="s">
        <v>562</v>
      </c>
      <c r="B114" s="436">
        <f>B107-B108</f>
        <v>11035</v>
      </c>
      <c r="C114" s="444">
        <f>C107-C108</f>
        <v>2111</v>
      </c>
      <c r="D114" s="444">
        <f>D107-D108</f>
        <v>0</v>
      </c>
      <c r="E114" s="429">
        <f>E107-E108</f>
        <v>13146</v>
      </c>
    </row>
    <row r="115" spans="1:5" ht="15.75">
      <c r="A115" s="549" t="s">
        <v>576</v>
      </c>
      <c r="B115" s="549"/>
      <c r="C115" s="549"/>
      <c r="D115" s="549"/>
      <c r="E115" s="549"/>
    </row>
    <row r="116" spans="1:5" ht="15.75">
      <c r="A116" s="462"/>
      <c r="B116" s="462"/>
      <c r="C116" s="462"/>
      <c r="D116" s="462"/>
      <c r="E116" s="462"/>
    </row>
    <row r="117" spans="1:5" ht="18.75">
      <c r="A117" s="550" t="s">
        <v>577</v>
      </c>
      <c r="B117" s="550"/>
      <c r="C117" s="550"/>
      <c r="D117" s="550"/>
      <c r="E117" s="550"/>
    </row>
    <row r="118" spans="1:5" ht="18.75">
      <c r="A118" s="551" t="s">
        <v>551</v>
      </c>
      <c r="B118" s="551"/>
      <c r="C118" s="551"/>
      <c r="D118" s="551"/>
      <c r="E118" s="551"/>
    </row>
    <row r="119" spans="1:5" ht="12.75">
      <c r="A119" s="552" t="s">
        <v>552</v>
      </c>
      <c r="B119" s="552" t="s">
        <v>553</v>
      </c>
      <c r="C119" s="552" t="s">
        <v>522</v>
      </c>
      <c r="D119" s="552" t="s">
        <v>554</v>
      </c>
      <c r="E119" s="552" t="s">
        <v>565</v>
      </c>
    </row>
    <row r="120" spans="1:5" ht="21" customHeight="1">
      <c r="A120" s="553"/>
      <c r="B120" s="553"/>
      <c r="C120" s="553"/>
      <c r="D120" s="553"/>
      <c r="E120" s="553"/>
    </row>
    <row r="121" spans="1:5" ht="15.75">
      <c r="A121" s="428" t="s">
        <v>556</v>
      </c>
      <c r="B121" s="429">
        <v>40274</v>
      </c>
      <c r="C121" s="429">
        <v>657</v>
      </c>
      <c r="D121" s="429"/>
      <c r="E121" s="429">
        <f aca="true" t="shared" si="7" ref="E121:E129">SUM(B121:D121)</f>
        <v>40931</v>
      </c>
    </row>
    <row r="122" spans="1:5" ht="15.75">
      <c r="A122" s="430" t="s">
        <v>557</v>
      </c>
      <c r="B122" s="449">
        <v>4597</v>
      </c>
      <c r="C122" s="450">
        <v>419</v>
      </c>
      <c r="D122" s="449"/>
      <c r="E122" s="433">
        <f t="shared" si="7"/>
        <v>5016</v>
      </c>
    </row>
    <row r="123" spans="1:5" ht="15.75">
      <c r="A123" s="428" t="s">
        <v>558</v>
      </c>
      <c r="B123" s="429">
        <f>SUM(B121:B122)</f>
        <v>44871</v>
      </c>
      <c r="C123" s="429">
        <f>SUM(C121:C122)</f>
        <v>1076</v>
      </c>
      <c r="D123" s="429">
        <f>SUM(D121:D122)</f>
        <v>0</v>
      </c>
      <c r="E123" s="429">
        <f t="shared" si="7"/>
        <v>45947</v>
      </c>
    </row>
    <row r="124" spans="1:5" ht="15.75">
      <c r="A124" s="435" t="s">
        <v>559</v>
      </c>
      <c r="B124" s="436">
        <f>SUM(B125:B129)</f>
        <v>41871</v>
      </c>
      <c r="C124" s="436">
        <f>SUM(C125:C129)</f>
        <v>776</v>
      </c>
      <c r="D124" s="436">
        <f>SUM(D125:D129)</f>
        <v>0</v>
      </c>
      <c r="E124" s="436">
        <f t="shared" si="7"/>
        <v>42647</v>
      </c>
    </row>
    <row r="125" spans="1:5" ht="15">
      <c r="A125" s="459" t="s">
        <v>560</v>
      </c>
      <c r="B125" s="460">
        <v>10000</v>
      </c>
      <c r="C125" s="460"/>
      <c r="D125" s="454"/>
      <c r="E125" s="461">
        <f t="shared" si="7"/>
        <v>10000</v>
      </c>
    </row>
    <row r="126" spans="1:5" ht="15">
      <c r="A126" s="459" t="s">
        <v>561</v>
      </c>
      <c r="B126" s="460">
        <v>2409</v>
      </c>
      <c r="C126" s="460"/>
      <c r="D126" s="454"/>
      <c r="E126" s="461">
        <f t="shared" si="7"/>
        <v>2409</v>
      </c>
    </row>
    <row r="127" spans="1:5" ht="15">
      <c r="A127" s="459">
        <v>2200</v>
      </c>
      <c r="B127" s="460">
        <v>24462</v>
      </c>
      <c r="C127" s="460">
        <v>776</v>
      </c>
      <c r="D127" s="454"/>
      <c r="E127" s="461">
        <f t="shared" si="7"/>
        <v>25238</v>
      </c>
    </row>
    <row r="128" spans="1:5" ht="15">
      <c r="A128" s="459">
        <v>2300</v>
      </c>
      <c r="B128" s="460">
        <v>4500</v>
      </c>
      <c r="C128" s="460"/>
      <c r="D128" s="454"/>
      <c r="E128" s="461">
        <f t="shared" si="7"/>
        <v>4500</v>
      </c>
    </row>
    <row r="129" spans="1:5" ht="15">
      <c r="A129" s="459">
        <v>5200</v>
      </c>
      <c r="B129" s="460">
        <v>500</v>
      </c>
      <c r="C129" s="463"/>
      <c r="D129" s="454"/>
      <c r="E129" s="461">
        <f t="shared" si="7"/>
        <v>500</v>
      </c>
    </row>
    <row r="130" spans="1:5" ht="15.75">
      <c r="A130" s="443" t="s">
        <v>562</v>
      </c>
      <c r="B130" s="436">
        <f>B123-B124</f>
        <v>3000</v>
      </c>
      <c r="C130" s="444">
        <f>C123-C124</f>
        <v>300</v>
      </c>
      <c r="D130" s="444">
        <f>D123-D124</f>
        <v>0</v>
      </c>
      <c r="E130" s="429">
        <f>E123-E124</f>
        <v>3300</v>
      </c>
    </row>
    <row r="131" spans="1:5" ht="15.75">
      <c r="A131" s="549" t="s">
        <v>578</v>
      </c>
      <c r="B131" s="549"/>
      <c r="C131" s="549"/>
      <c r="D131" s="549"/>
      <c r="E131" s="549"/>
    </row>
    <row r="132" spans="1:5" ht="15.75">
      <c r="A132" s="462"/>
      <c r="B132" s="462"/>
      <c r="C132" s="462"/>
      <c r="D132" s="462"/>
      <c r="E132" s="462"/>
    </row>
    <row r="133" spans="1:5" ht="18.75">
      <c r="A133" s="550" t="s">
        <v>579</v>
      </c>
      <c r="B133" s="550"/>
      <c r="C133" s="550"/>
      <c r="D133" s="550"/>
      <c r="E133" s="550"/>
    </row>
    <row r="134" spans="1:5" ht="18.75">
      <c r="A134" s="551" t="s">
        <v>551</v>
      </c>
      <c r="B134" s="551"/>
      <c r="C134" s="551"/>
      <c r="D134" s="551"/>
      <c r="E134" s="551"/>
    </row>
    <row r="135" spans="1:5" ht="12.75">
      <c r="A135" s="552" t="s">
        <v>552</v>
      </c>
      <c r="B135" s="552" t="s">
        <v>553</v>
      </c>
      <c r="C135" s="552" t="s">
        <v>522</v>
      </c>
      <c r="D135" s="552" t="s">
        <v>554</v>
      </c>
      <c r="E135" s="552" t="s">
        <v>565</v>
      </c>
    </row>
    <row r="136" spans="1:5" ht="26.25" customHeight="1">
      <c r="A136" s="553"/>
      <c r="B136" s="553"/>
      <c r="C136" s="553"/>
      <c r="D136" s="553"/>
      <c r="E136" s="553"/>
    </row>
    <row r="137" spans="1:5" ht="15.75">
      <c r="A137" s="428" t="s">
        <v>556</v>
      </c>
      <c r="B137" s="429">
        <v>32829</v>
      </c>
      <c r="C137" s="429">
        <v>3519</v>
      </c>
      <c r="D137" s="429"/>
      <c r="E137" s="429">
        <f aca="true" t="shared" si="8" ref="E137:E145">SUM(B137:D137)</f>
        <v>36348</v>
      </c>
    </row>
    <row r="138" spans="1:5" ht="15.75">
      <c r="A138" s="430" t="s">
        <v>557</v>
      </c>
      <c r="B138" s="449">
        <v>3032</v>
      </c>
      <c r="C138" s="450">
        <v>8520</v>
      </c>
      <c r="D138" s="449"/>
      <c r="E138" s="433">
        <f t="shared" si="8"/>
        <v>11552</v>
      </c>
    </row>
    <row r="139" spans="1:5" ht="15.75">
      <c r="A139" s="428" t="s">
        <v>558</v>
      </c>
      <c r="B139" s="429">
        <f>SUM(B137:B138)</f>
        <v>35861</v>
      </c>
      <c r="C139" s="429">
        <f>SUM(C137:C138)</f>
        <v>12039</v>
      </c>
      <c r="D139" s="429">
        <f>SUM(D137:D138)</f>
        <v>0</v>
      </c>
      <c r="E139" s="429">
        <f t="shared" si="8"/>
        <v>47900</v>
      </c>
    </row>
    <row r="140" spans="1:5" ht="15.75">
      <c r="A140" s="435" t="s">
        <v>559</v>
      </c>
      <c r="B140" s="436">
        <f>SUM(B141:B145)</f>
        <v>31408</v>
      </c>
      <c r="C140" s="436">
        <f>SUM(C141:C145)</f>
        <v>8520</v>
      </c>
      <c r="D140" s="436">
        <f>SUM(D141:D145)</f>
        <v>0</v>
      </c>
      <c r="E140" s="436">
        <f t="shared" si="8"/>
        <v>39928</v>
      </c>
    </row>
    <row r="141" spans="1:5" ht="15">
      <c r="A141" s="459" t="s">
        <v>560</v>
      </c>
      <c r="B141" s="460">
        <v>1600</v>
      </c>
      <c r="C141" s="460"/>
      <c r="D141" s="454"/>
      <c r="E141" s="461">
        <f t="shared" si="8"/>
        <v>1600</v>
      </c>
    </row>
    <row r="142" spans="1:5" ht="15">
      <c r="A142" s="459" t="s">
        <v>561</v>
      </c>
      <c r="B142" s="460">
        <v>400</v>
      </c>
      <c r="C142" s="460"/>
      <c r="D142" s="454"/>
      <c r="E142" s="461">
        <f t="shared" si="8"/>
        <v>400</v>
      </c>
    </row>
    <row r="143" spans="1:5" ht="15">
      <c r="A143" s="459">
        <v>2200</v>
      </c>
      <c r="B143" s="460">
        <v>26858</v>
      </c>
      <c r="C143" s="460">
        <v>8520</v>
      </c>
      <c r="D143" s="454"/>
      <c r="E143" s="461">
        <f t="shared" si="8"/>
        <v>35378</v>
      </c>
    </row>
    <row r="144" spans="1:5" ht="15">
      <c r="A144" s="459">
        <v>2300</v>
      </c>
      <c r="B144" s="460">
        <v>2550</v>
      </c>
      <c r="C144" s="460"/>
      <c r="D144" s="454"/>
      <c r="E144" s="461">
        <f t="shared" si="8"/>
        <v>2550</v>
      </c>
    </row>
    <row r="145" spans="1:5" ht="15">
      <c r="A145" s="459">
        <v>5200</v>
      </c>
      <c r="B145" s="463"/>
      <c r="C145" s="463"/>
      <c r="D145" s="454"/>
      <c r="E145" s="461">
        <f t="shared" si="8"/>
        <v>0</v>
      </c>
    </row>
    <row r="146" spans="1:5" ht="15.75">
      <c r="A146" s="443" t="s">
        <v>562</v>
      </c>
      <c r="B146" s="436">
        <f>B139-B140</f>
        <v>4453</v>
      </c>
      <c r="C146" s="444">
        <f>C139-C140</f>
        <v>3519</v>
      </c>
      <c r="D146" s="444">
        <f>D139-D140</f>
        <v>0</v>
      </c>
      <c r="E146" s="429">
        <f>E139-E140</f>
        <v>7972</v>
      </c>
    </row>
    <row r="147" spans="1:5" ht="15.75">
      <c r="A147" s="549" t="s">
        <v>580</v>
      </c>
      <c r="B147" s="549"/>
      <c r="C147" s="549"/>
      <c r="D147" s="549"/>
      <c r="E147" s="549"/>
    </row>
    <row r="148" spans="1:5" ht="15.75">
      <c r="A148" s="462"/>
      <c r="B148" s="462"/>
      <c r="C148" s="462"/>
      <c r="D148" s="462"/>
      <c r="E148" s="462"/>
    </row>
    <row r="149" spans="1:5" ht="18.75">
      <c r="A149" s="550" t="s">
        <v>581</v>
      </c>
      <c r="B149" s="550"/>
      <c r="C149" s="550"/>
      <c r="D149" s="550"/>
      <c r="E149" s="550"/>
    </row>
    <row r="150" spans="1:5" ht="18.75">
      <c r="A150" s="551" t="s">
        <v>551</v>
      </c>
      <c r="B150" s="551"/>
      <c r="C150" s="551"/>
      <c r="D150" s="551"/>
      <c r="E150" s="551"/>
    </row>
    <row r="151" spans="1:5" ht="13.5" customHeight="1">
      <c r="A151" s="458"/>
      <c r="B151" s="458"/>
      <c r="C151" s="458"/>
      <c r="D151" s="458"/>
      <c r="E151" s="458"/>
    </row>
    <row r="152" spans="1:5" ht="12.75">
      <c r="A152" s="552" t="s">
        <v>552</v>
      </c>
      <c r="B152" s="552" t="s">
        <v>553</v>
      </c>
      <c r="C152" s="552" t="s">
        <v>522</v>
      </c>
      <c r="D152" s="552" t="s">
        <v>554</v>
      </c>
      <c r="E152" s="552" t="s">
        <v>565</v>
      </c>
    </row>
    <row r="153" spans="1:5" ht="39.75" customHeight="1">
      <c r="A153" s="553"/>
      <c r="B153" s="553"/>
      <c r="C153" s="553"/>
      <c r="D153" s="553"/>
      <c r="E153" s="553"/>
    </row>
    <row r="154" spans="1:5" ht="15.75">
      <c r="A154" s="428" t="s">
        <v>556</v>
      </c>
      <c r="B154" s="429">
        <v>25803</v>
      </c>
      <c r="C154" s="429">
        <v>693</v>
      </c>
      <c r="D154" s="429"/>
      <c r="E154" s="429">
        <f aca="true" t="shared" si="9" ref="E154:E162">SUM(B154:D154)</f>
        <v>26496</v>
      </c>
    </row>
    <row r="155" spans="1:5" ht="15.75">
      <c r="A155" s="430" t="s">
        <v>557</v>
      </c>
      <c r="B155" s="449">
        <v>17252</v>
      </c>
      <c r="C155" s="450">
        <v>24963</v>
      </c>
      <c r="D155" s="449"/>
      <c r="E155" s="433">
        <f t="shared" si="9"/>
        <v>42215</v>
      </c>
    </row>
    <row r="156" spans="1:5" ht="15.75">
      <c r="A156" s="428" t="s">
        <v>558</v>
      </c>
      <c r="B156" s="429">
        <f>SUM(B154:B155)</f>
        <v>43055</v>
      </c>
      <c r="C156" s="429">
        <f>SUM(C154:C155)</f>
        <v>25656</v>
      </c>
      <c r="D156" s="429">
        <f>SUM(D154:D155)</f>
        <v>0</v>
      </c>
      <c r="E156" s="429">
        <f t="shared" si="9"/>
        <v>68711</v>
      </c>
    </row>
    <row r="157" spans="1:5" ht="15.75">
      <c r="A157" s="435" t="s">
        <v>559</v>
      </c>
      <c r="B157" s="436">
        <f>SUM(B158:B162)</f>
        <v>43055</v>
      </c>
      <c r="C157" s="436">
        <f>SUM(C158:C162)</f>
        <v>25656</v>
      </c>
      <c r="D157" s="436">
        <f>SUM(D158:D162)</f>
        <v>0</v>
      </c>
      <c r="E157" s="436">
        <f t="shared" si="9"/>
        <v>68711</v>
      </c>
    </row>
    <row r="158" spans="1:5" ht="15">
      <c r="A158" s="459" t="s">
        <v>560</v>
      </c>
      <c r="B158" s="460"/>
      <c r="C158" s="460"/>
      <c r="D158" s="454"/>
      <c r="E158" s="461">
        <f t="shared" si="9"/>
        <v>0</v>
      </c>
    </row>
    <row r="159" spans="1:5" ht="15">
      <c r="A159" s="459" t="s">
        <v>561</v>
      </c>
      <c r="B159" s="460"/>
      <c r="C159" s="460"/>
      <c r="D159" s="454"/>
      <c r="E159" s="461">
        <f t="shared" si="9"/>
        <v>0</v>
      </c>
    </row>
    <row r="160" spans="1:5" ht="15">
      <c r="A160" s="459">
        <v>2200</v>
      </c>
      <c r="B160" s="460">
        <v>43055</v>
      </c>
      <c r="C160" s="460">
        <v>25656</v>
      </c>
      <c r="D160" s="454"/>
      <c r="E160" s="461">
        <f t="shared" si="9"/>
        <v>68711</v>
      </c>
    </row>
    <row r="161" spans="1:5" ht="15">
      <c r="A161" s="459">
        <v>2300</v>
      </c>
      <c r="B161" s="460"/>
      <c r="C161" s="460"/>
      <c r="D161" s="454"/>
      <c r="E161" s="461">
        <f t="shared" si="9"/>
        <v>0</v>
      </c>
    </row>
    <row r="162" spans="1:5" ht="15">
      <c r="A162" s="459">
        <v>5200</v>
      </c>
      <c r="B162" s="463"/>
      <c r="C162" s="463"/>
      <c r="D162" s="454"/>
      <c r="E162" s="461">
        <f t="shared" si="9"/>
        <v>0</v>
      </c>
    </row>
    <row r="163" spans="1:5" ht="15.75">
      <c r="A163" s="443" t="s">
        <v>562</v>
      </c>
      <c r="B163" s="436">
        <f>B156-B157</f>
        <v>0</v>
      </c>
      <c r="C163" s="444">
        <f>C156-C157</f>
        <v>0</v>
      </c>
      <c r="D163" s="444">
        <f>D156-D157</f>
        <v>0</v>
      </c>
      <c r="E163" s="429">
        <f>E156-E157</f>
        <v>0</v>
      </c>
    </row>
    <row r="164" spans="1:5" ht="15.75">
      <c r="A164" s="549" t="s">
        <v>582</v>
      </c>
      <c r="B164" s="549"/>
      <c r="C164" s="549"/>
      <c r="D164" s="549"/>
      <c r="E164" s="549"/>
    </row>
  </sheetData>
  <sheetProtection/>
  <mergeCells count="80">
    <mergeCell ref="A1:E1"/>
    <mergeCell ref="A2:E2"/>
    <mergeCell ref="A3:E3"/>
    <mergeCell ref="A4:A5"/>
    <mergeCell ref="B4:B5"/>
    <mergeCell ref="C4:C5"/>
    <mergeCell ref="D4:D5"/>
    <mergeCell ref="E4:E5"/>
    <mergeCell ref="A23:E23"/>
    <mergeCell ref="A24:E24"/>
    <mergeCell ref="A26:A27"/>
    <mergeCell ref="B26:B27"/>
    <mergeCell ref="C26:C27"/>
    <mergeCell ref="D26:D27"/>
    <mergeCell ref="E26:E27"/>
    <mergeCell ref="A35:E35"/>
    <mergeCell ref="A37:E37"/>
    <mergeCell ref="A38:E38"/>
    <mergeCell ref="A40:A41"/>
    <mergeCell ref="B40:B41"/>
    <mergeCell ref="C40:C41"/>
    <mergeCell ref="D40:D41"/>
    <mergeCell ref="E40:E41"/>
    <mergeCell ref="A51:E51"/>
    <mergeCell ref="A53:E53"/>
    <mergeCell ref="A54:E54"/>
    <mergeCell ref="A55:A56"/>
    <mergeCell ref="B55:B56"/>
    <mergeCell ref="C55:C56"/>
    <mergeCell ref="D55:D56"/>
    <mergeCell ref="E55:E56"/>
    <mergeCell ref="A68:E68"/>
    <mergeCell ref="A69:E69"/>
    <mergeCell ref="A70:E70"/>
    <mergeCell ref="A71:A72"/>
    <mergeCell ref="B71:B72"/>
    <mergeCell ref="C71:C72"/>
    <mergeCell ref="D71:D72"/>
    <mergeCell ref="E71:E72"/>
    <mergeCell ref="A82:E82"/>
    <mergeCell ref="A84:E84"/>
    <mergeCell ref="A85:E85"/>
    <mergeCell ref="A87:A88"/>
    <mergeCell ref="B87:B88"/>
    <mergeCell ref="C87:C88"/>
    <mergeCell ref="D87:D88"/>
    <mergeCell ref="E87:E88"/>
    <mergeCell ref="A99:E99"/>
    <mergeCell ref="A100:E100"/>
    <mergeCell ref="A101:E101"/>
    <mergeCell ref="A103:A104"/>
    <mergeCell ref="B103:B104"/>
    <mergeCell ref="C103:C104"/>
    <mergeCell ref="D103:D104"/>
    <mergeCell ref="E103:E104"/>
    <mergeCell ref="A115:E115"/>
    <mergeCell ref="A117:E117"/>
    <mergeCell ref="A118:E118"/>
    <mergeCell ref="A119:A120"/>
    <mergeCell ref="B119:B120"/>
    <mergeCell ref="C119:C120"/>
    <mergeCell ref="D119:D120"/>
    <mergeCell ref="E119:E120"/>
    <mergeCell ref="A131:E131"/>
    <mergeCell ref="A133:E133"/>
    <mergeCell ref="A134:E134"/>
    <mergeCell ref="A135:A136"/>
    <mergeCell ref="B135:B136"/>
    <mergeCell ref="C135:C136"/>
    <mergeCell ref="D135:D136"/>
    <mergeCell ref="E135:E136"/>
    <mergeCell ref="A164:E164"/>
    <mergeCell ref="A147:E147"/>
    <mergeCell ref="A149:E149"/>
    <mergeCell ref="A150:E150"/>
    <mergeCell ref="A152:A153"/>
    <mergeCell ref="B152:B153"/>
    <mergeCell ref="C152:C153"/>
    <mergeCell ref="D152:D153"/>
    <mergeCell ref="E152:E153"/>
  </mergeCells>
  <printOptions/>
  <pageMargins left="2.48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pane xSplit="2" ySplit="6" topLeftCell="C7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140625" defaultRowHeight="12.75"/>
  <cols>
    <col min="1" max="1" width="10.140625" style="276" customWidth="1"/>
    <col min="2" max="2" width="35.7109375" style="277" customWidth="1"/>
    <col min="3" max="3" width="9.421875" style="276" customWidth="1"/>
    <col min="4" max="4" width="11.00390625" style="276" customWidth="1"/>
    <col min="5" max="5" width="11.7109375" style="276" customWidth="1"/>
    <col min="6" max="6" width="9.7109375" style="276" customWidth="1"/>
    <col min="7" max="7" width="10.7109375" style="276" customWidth="1"/>
    <col min="8" max="8" width="11.00390625" style="276" customWidth="1"/>
    <col min="9" max="9" width="12.7109375" style="279" customWidth="1"/>
    <col min="10" max="16384" width="9.140625" style="276" customWidth="1"/>
  </cols>
  <sheetData>
    <row r="1" ht="15">
      <c r="D1" s="278" t="s">
        <v>583</v>
      </c>
    </row>
    <row r="2" spans="1:4" ht="15">
      <c r="A2" s="280"/>
      <c r="D2" s="280" t="s">
        <v>518</v>
      </c>
    </row>
    <row r="3" spans="1:4" ht="15">
      <c r="A3" s="280"/>
      <c r="D3" s="280" t="s">
        <v>516</v>
      </c>
    </row>
    <row r="4" spans="1:3" ht="20.25">
      <c r="A4" s="281" t="s">
        <v>584</v>
      </c>
      <c r="B4" s="281"/>
      <c r="C4" s="281"/>
    </row>
    <row r="5" spans="1:3" ht="15.75" thickBot="1">
      <c r="A5" s="280"/>
      <c r="B5" s="283"/>
      <c r="C5" s="280"/>
    </row>
    <row r="6" spans="1:9" ht="93" customHeight="1" thickBot="1">
      <c r="A6" s="284" t="s">
        <v>1</v>
      </c>
      <c r="B6" s="285" t="s">
        <v>520</v>
      </c>
      <c r="C6" s="286" t="s">
        <v>446</v>
      </c>
      <c r="D6" s="287" t="s">
        <v>585</v>
      </c>
      <c r="E6" s="464" t="s">
        <v>586</v>
      </c>
      <c r="F6" s="465" t="s">
        <v>450</v>
      </c>
      <c r="G6" s="466" t="s">
        <v>451</v>
      </c>
      <c r="H6" s="288" t="s">
        <v>453</v>
      </c>
      <c r="I6" s="290" t="s">
        <v>458</v>
      </c>
    </row>
    <row r="7" spans="1:9" ht="15.75" thickBot="1">
      <c r="A7" s="467" t="s">
        <v>587</v>
      </c>
      <c r="B7" s="468" t="s">
        <v>588</v>
      </c>
      <c r="C7" s="298">
        <v>9000</v>
      </c>
      <c r="D7" s="298">
        <v>4500</v>
      </c>
      <c r="E7" s="298"/>
      <c r="F7" s="298"/>
      <c r="G7" s="298"/>
      <c r="H7" s="298"/>
      <c r="I7" s="299">
        <f>SUM(C7:H7)</f>
        <v>13500</v>
      </c>
    </row>
    <row r="8" spans="1:9" ht="18.75" customHeight="1" thickBot="1">
      <c r="A8" s="469"/>
      <c r="B8" s="470" t="s">
        <v>42</v>
      </c>
      <c r="C8" s="319">
        <f aca="true" t="shared" si="0" ref="C8:H8">SUM(C7)</f>
        <v>9000</v>
      </c>
      <c r="D8" s="319">
        <f t="shared" si="0"/>
        <v>4500</v>
      </c>
      <c r="E8" s="319">
        <f t="shared" si="0"/>
        <v>0</v>
      </c>
      <c r="F8" s="319">
        <f t="shared" si="0"/>
        <v>0</v>
      </c>
      <c r="G8" s="319">
        <f t="shared" si="0"/>
        <v>0</v>
      </c>
      <c r="H8" s="319">
        <f t="shared" si="0"/>
        <v>0</v>
      </c>
      <c r="I8" s="320">
        <f>SUM(C8:H8)</f>
        <v>13500</v>
      </c>
    </row>
    <row r="9" spans="1:9" ht="15">
      <c r="A9" s="471" t="s">
        <v>543</v>
      </c>
      <c r="B9" s="472" t="s">
        <v>531</v>
      </c>
      <c r="C9" s="323">
        <v>8598</v>
      </c>
      <c r="D9" s="323">
        <v>7346</v>
      </c>
      <c r="E9" s="323">
        <v>747</v>
      </c>
      <c r="F9" s="323">
        <v>2</v>
      </c>
      <c r="G9" s="323">
        <v>730</v>
      </c>
      <c r="H9" s="323">
        <v>167</v>
      </c>
      <c r="I9" s="299">
        <f>SUM(C9:H9)</f>
        <v>17590</v>
      </c>
    </row>
    <row r="10" spans="1:9" ht="15">
      <c r="A10" s="473"/>
      <c r="B10" s="474" t="s">
        <v>44</v>
      </c>
      <c r="C10" s="326">
        <f aca="true" t="shared" si="1" ref="C10:H10">SUM(C8:C9)</f>
        <v>17598</v>
      </c>
      <c r="D10" s="326">
        <f t="shared" si="1"/>
        <v>11846</v>
      </c>
      <c r="E10" s="326">
        <f t="shared" si="1"/>
        <v>747</v>
      </c>
      <c r="F10" s="326">
        <f t="shared" si="1"/>
        <v>2</v>
      </c>
      <c r="G10" s="326">
        <f t="shared" si="1"/>
        <v>730</v>
      </c>
      <c r="H10" s="326">
        <f t="shared" si="1"/>
        <v>167</v>
      </c>
      <c r="I10" s="294">
        <f>SUM(C10:H10)</f>
        <v>31090</v>
      </c>
    </row>
    <row r="11" spans="2:5" ht="15">
      <c r="B11" s="424"/>
      <c r="E11" s="475"/>
    </row>
    <row r="12" spans="2:5" ht="15">
      <c r="B12" s="476" t="s">
        <v>295</v>
      </c>
      <c r="E12" s="475" t="s">
        <v>17</v>
      </c>
    </row>
    <row r="13" spans="1:8" ht="51" customHeight="1" thickBot="1">
      <c r="A13" s="560" t="s">
        <v>589</v>
      </c>
      <c r="B13" s="560"/>
      <c r="C13" s="560"/>
      <c r="D13" s="560"/>
      <c r="E13" s="560"/>
      <c r="F13" s="560"/>
      <c r="G13" s="560"/>
      <c r="H13" s="560"/>
    </row>
    <row r="14" spans="1:9" ht="96" customHeight="1" thickBot="1">
      <c r="A14" s="284" t="s">
        <v>1</v>
      </c>
      <c r="B14" s="285" t="s">
        <v>533</v>
      </c>
      <c r="C14" s="286" t="s">
        <v>446</v>
      </c>
      <c r="D14" s="287" t="s">
        <v>585</v>
      </c>
      <c r="E14" s="464" t="s">
        <v>586</v>
      </c>
      <c r="F14" s="465" t="s">
        <v>450</v>
      </c>
      <c r="G14" s="466" t="s">
        <v>451</v>
      </c>
      <c r="H14" s="288" t="s">
        <v>453</v>
      </c>
      <c r="I14" s="290" t="s">
        <v>458</v>
      </c>
    </row>
    <row r="15" spans="1:9" ht="15.75" thickBot="1">
      <c r="A15" s="477" t="s">
        <v>45</v>
      </c>
      <c r="B15" s="478" t="s">
        <v>46</v>
      </c>
      <c r="C15" s="343">
        <v>20</v>
      </c>
      <c r="D15" s="343"/>
      <c r="E15" s="343"/>
      <c r="F15" s="343"/>
      <c r="G15" s="343"/>
      <c r="H15" s="343"/>
      <c r="I15" s="320">
        <f aca="true" t="shared" si="2" ref="I15:I24">SUM(C15:H15)</f>
        <v>20</v>
      </c>
    </row>
    <row r="16" spans="1:9" ht="15.75" thickBot="1">
      <c r="A16" s="479" t="s">
        <v>10</v>
      </c>
      <c r="B16" s="478" t="s">
        <v>57</v>
      </c>
      <c r="C16" s="343"/>
      <c r="D16" s="343"/>
      <c r="E16" s="343"/>
      <c r="F16" s="343"/>
      <c r="G16" s="343"/>
      <c r="H16" s="343"/>
      <c r="I16" s="320">
        <f t="shared" si="2"/>
        <v>0</v>
      </c>
    </row>
    <row r="17" spans="1:9" ht="15.75" thickBot="1">
      <c r="A17" s="479" t="s">
        <v>13</v>
      </c>
      <c r="B17" s="480" t="s">
        <v>63</v>
      </c>
      <c r="C17" s="343"/>
      <c r="D17" s="343"/>
      <c r="E17" s="343"/>
      <c r="F17" s="343"/>
      <c r="G17" s="343"/>
      <c r="H17" s="343"/>
      <c r="I17" s="320">
        <f t="shared" si="2"/>
        <v>0</v>
      </c>
    </row>
    <row r="18" spans="1:9" ht="30" thickBot="1">
      <c r="A18" s="479" t="s">
        <v>14</v>
      </c>
      <c r="B18" s="480" t="s">
        <v>68</v>
      </c>
      <c r="C18" s="343"/>
      <c r="D18" s="343">
        <v>11846</v>
      </c>
      <c r="E18" s="343"/>
      <c r="F18" s="343"/>
      <c r="G18" s="343"/>
      <c r="H18" s="343"/>
      <c r="I18" s="320">
        <f t="shared" si="2"/>
        <v>11846</v>
      </c>
    </row>
    <row r="19" spans="1:9" ht="15.75" thickBot="1">
      <c r="A19" s="481" t="s">
        <v>12</v>
      </c>
      <c r="B19" s="482" t="s">
        <v>77</v>
      </c>
      <c r="C19" s="343">
        <v>5340</v>
      </c>
      <c r="D19" s="343"/>
      <c r="E19" s="343">
        <v>747</v>
      </c>
      <c r="F19" s="343"/>
      <c r="G19" s="343"/>
      <c r="H19" s="343"/>
      <c r="I19" s="320">
        <f t="shared" si="2"/>
        <v>6087</v>
      </c>
    </row>
    <row r="20" spans="1:9" ht="15.75" thickBot="1">
      <c r="A20" s="479" t="s">
        <v>85</v>
      </c>
      <c r="B20" s="480" t="s">
        <v>9</v>
      </c>
      <c r="C20" s="343">
        <v>11280</v>
      </c>
      <c r="D20" s="343"/>
      <c r="E20" s="343"/>
      <c r="F20" s="343">
        <v>2</v>
      </c>
      <c r="G20" s="343"/>
      <c r="H20" s="343"/>
      <c r="I20" s="320">
        <f t="shared" si="2"/>
        <v>11282</v>
      </c>
    </row>
    <row r="21" spans="1:9" ht="15.75" thickBot="1">
      <c r="A21" s="481" t="s">
        <v>8</v>
      </c>
      <c r="B21" s="482" t="s">
        <v>105</v>
      </c>
      <c r="C21" s="343">
        <v>958</v>
      </c>
      <c r="D21" s="343"/>
      <c r="E21" s="343"/>
      <c r="F21" s="343"/>
      <c r="G21" s="343">
        <v>730</v>
      </c>
      <c r="H21" s="343">
        <v>167</v>
      </c>
      <c r="I21" s="320">
        <f t="shared" si="2"/>
        <v>1855</v>
      </c>
    </row>
    <row r="22" spans="1:9" ht="15.75" thickBot="1">
      <c r="A22" s="483"/>
      <c r="B22" s="342" t="s">
        <v>16</v>
      </c>
      <c r="C22" s="343">
        <f aca="true" t="shared" si="3" ref="C22:H22">SUM(C15:C21)</f>
        <v>17598</v>
      </c>
      <c r="D22" s="343">
        <f t="shared" si="3"/>
        <v>11846</v>
      </c>
      <c r="E22" s="343">
        <f t="shared" si="3"/>
        <v>747</v>
      </c>
      <c r="F22" s="343">
        <f t="shared" si="3"/>
        <v>2</v>
      </c>
      <c r="G22" s="343">
        <f t="shared" si="3"/>
        <v>730</v>
      </c>
      <c r="H22" s="343">
        <f t="shared" si="3"/>
        <v>167</v>
      </c>
      <c r="I22" s="320">
        <f t="shared" si="2"/>
        <v>31090</v>
      </c>
    </row>
    <row r="23" spans="1:9" ht="15">
      <c r="A23" s="276" t="s">
        <v>543</v>
      </c>
      <c r="B23" s="484" t="s">
        <v>544</v>
      </c>
      <c r="C23" s="327"/>
      <c r="I23" s="329">
        <f t="shared" si="2"/>
        <v>0</v>
      </c>
    </row>
    <row r="24" spans="2:9" ht="15">
      <c r="B24" s="485" t="s">
        <v>590</v>
      </c>
      <c r="C24" s="383">
        <f aca="true" t="shared" si="4" ref="C24:H24">C10-C23-C22</f>
        <v>0</v>
      </c>
      <c r="D24" s="383">
        <f t="shared" si="4"/>
        <v>0</v>
      </c>
      <c r="E24" s="383">
        <f t="shared" si="4"/>
        <v>0</v>
      </c>
      <c r="F24" s="383">
        <f t="shared" si="4"/>
        <v>0</v>
      </c>
      <c r="G24" s="383">
        <f t="shared" si="4"/>
        <v>0</v>
      </c>
      <c r="H24" s="383">
        <f t="shared" si="4"/>
        <v>0</v>
      </c>
      <c r="I24" s="329">
        <f t="shared" si="2"/>
        <v>0</v>
      </c>
    </row>
    <row r="25" spans="2:5" ht="15">
      <c r="B25" s="476" t="s">
        <v>295</v>
      </c>
      <c r="E25" s="475" t="s">
        <v>17</v>
      </c>
    </row>
    <row r="26" spans="1:6" ht="42" customHeight="1" thickBot="1">
      <c r="A26" s="561" t="s">
        <v>591</v>
      </c>
      <c r="B26" s="561"/>
      <c r="C26" s="561"/>
      <c r="D26" s="561"/>
      <c r="E26" s="561"/>
      <c r="F26" s="561"/>
    </row>
    <row r="27" spans="1:9" ht="90" customHeight="1" thickBot="1">
      <c r="A27" s="284" t="s">
        <v>1</v>
      </c>
      <c r="B27" s="285" t="s">
        <v>533</v>
      </c>
      <c r="C27" s="286" t="s">
        <v>446</v>
      </c>
      <c r="D27" s="287" t="s">
        <v>585</v>
      </c>
      <c r="E27" s="464" t="s">
        <v>586</v>
      </c>
      <c r="F27" s="465" t="s">
        <v>450</v>
      </c>
      <c r="G27" s="466" t="s">
        <v>451</v>
      </c>
      <c r="H27" s="288" t="s">
        <v>453</v>
      </c>
      <c r="I27" s="290" t="s">
        <v>458</v>
      </c>
    </row>
    <row r="28" spans="1:9" ht="15">
      <c r="A28" s="486">
        <v>1100</v>
      </c>
      <c r="B28" s="487" t="s">
        <v>546</v>
      </c>
      <c r="C28" s="488"/>
      <c r="D28" s="488"/>
      <c r="E28" s="488"/>
      <c r="F28" s="488"/>
      <c r="G28" s="488"/>
      <c r="H28" s="488"/>
      <c r="I28" s="489">
        <f>SUM(C28:H28)</f>
        <v>0</v>
      </c>
    </row>
    <row r="29" spans="1:9" ht="58.5" thickBot="1">
      <c r="A29" s="490">
        <v>1200</v>
      </c>
      <c r="B29" s="491" t="s">
        <v>547</v>
      </c>
      <c r="C29" s="492"/>
      <c r="D29" s="492"/>
      <c r="E29" s="492"/>
      <c r="F29" s="492"/>
      <c r="G29" s="492"/>
      <c r="H29" s="492"/>
      <c r="I29" s="493">
        <f>SUM(C29:H29)</f>
        <v>0</v>
      </c>
    </row>
    <row r="30" spans="1:9" ht="15.75" thickBot="1">
      <c r="A30" s="494">
        <v>2000</v>
      </c>
      <c r="B30" s="495" t="s">
        <v>133</v>
      </c>
      <c r="C30" s="496">
        <f aca="true" t="shared" si="5" ref="C30:I30">SUM(C31:C34)</f>
        <v>15398</v>
      </c>
      <c r="D30" s="496">
        <f t="shared" si="5"/>
        <v>4510</v>
      </c>
      <c r="E30" s="496">
        <f t="shared" si="5"/>
        <v>747</v>
      </c>
      <c r="F30" s="496">
        <f t="shared" si="5"/>
        <v>2</v>
      </c>
      <c r="G30" s="496">
        <f t="shared" si="5"/>
        <v>730</v>
      </c>
      <c r="H30" s="496">
        <f t="shared" si="5"/>
        <v>167</v>
      </c>
      <c r="I30" s="497">
        <f t="shared" si="5"/>
        <v>21554</v>
      </c>
    </row>
    <row r="31" spans="1:9" ht="15">
      <c r="A31" s="498">
        <v>2200</v>
      </c>
      <c r="B31" s="499" t="s">
        <v>134</v>
      </c>
      <c r="C31" s="500">
        <v>7398</v>
      </c>
      <c r="D31" s="501">
        <v>4010</v>
      </c>
      <c r="E31" s="501"/>
      <c r="F31" s="501">
        <v>2</v>
      </c>
      <c r="G31" s="501">
        <v>730</v>
      </c>
      <c r="H31" s="501"/>
      <c r="I31" s="502">
        <f aca="true" t="shared" si="6" ref="I31:I37">SUM(C31:H31)</f>
        <v>12140</v>
      </c>
    </row>
    <row r="32" spans="1:9" ht="43.5">
      <c r="A32" s="503">
        <v>2300</v>
      </c>
      <c r="B32" s="504" t="s">
        <v>135</v>
      </c>
      <c r="C32" s="505">
        <v>8000</v>
      </c>
      <c r="D32" s="505">
        <v>500</v>
      </c>
      <c r="E32" s="505">
        <v>747</v>
      </c>
      <c r="F32" s="505"/>
      <c r="G32" s="505"/>
      <c r="H32" s="505">
        <v>167</v>
      </c>
      <c r="I32" s="506">
        <f t="shared" si="6"/>
        <v>9414</v>
      </c>
    </row>
    <row r="33" spans="1:9" ht="15">
      <c r="A33" s="503">
        <v>2400</v>
      </c>
      <c r="B33" s="504" t="s">
        <v>167</v>
      </c>
      <c r="C33" s="505"/>
      <c r="D33" s="505"/>
      <c r="E33" s="505"/>
      <c r="F33" s="505"/>
      <c r="G33" s="505"/>
      <c r="H33" s="505"/>
      <c r="I33" s="507">
        <f t="shared" si="6"/>
        <v>0</v>
      </c>
    </row>
    <row r="34" spans="1:9" ht="15">
      <c r="A34" s="503">
        <v>2500</v>
      </c>
      <c r="B34" s="504" t="s">
        <v>136</v>
      </c>
      <c r="C34" s="505"/>
      <c r="D34" s="505"/>
      <c r="E34" s="505"/>
      <c r="F34" s="505"/>
      <c r="G34" s="505"/>
      <c r="H34" s="505"/>
      <c r="I34" s="507">
        <f t="shared" si="6"/>
        <v>0</v>
      </c>
    </row>
    <row r="35" spans="1:9" ht="43.5">
      <c r="A35" s="503">
        <v>3200</v>
      </c>
      <c r="B35" s="504" t="s">
        <v>548</v>
      </c>
      <c r="C35" s="505"/>
      <c r="D35" s="505"/>
      <c r="E35" s="505"/>
      <c r="F35" s="505"/>
      <c r="G35" s="505"/>
      <c r="H35" s="505"/>
      <c r="I35" s="507">
        <f t="shared" si="6"/>
        <v>0</v>
      </c>
    </row>
    <row r="36" spans="1:9" ht="15">
      <c r="A36" s="503">
        <v>5200</v>
      </c>
      <c r="B36" s="504" t="s">
        <v>140</v>
      </c>
      <c r="C36" s="505">
        <v>2000</v>
      </c>
      <c r="D36" s="505">
        <v>7336</v>
      </c>
      <c r="E36" s="505"/>
      <c r="F36" s="505"/>
      <c r="G36" s="505"/>
      <c r="H36" s="505"/>
      <c r="I36" s="507">
        <f t="shared" si="6"/>
        <v>9336</v>
      </c>
    </row>
    <row r="37" spans="1:9" ht="15.75" thickBot="1">
      <c r="A37" s="503">
        <v>6200</v>
      </c>
      <c r="B37" s="504" t="s">
        <v>592</v>
      </c>
      <c r="C37" s="505">
        <v>200</v>
      </c>
      <c r="D37" s="505"/>
      <c r="E37" s="505"/>
      <c r="F37" s="505"/>
      <c r="G37" s="505"/>
      <c r="H37" s="505"/>
      <c r="I37" s="507">
        <f t="shared" si="6"/>
        <v>200</v>
      </c>
    </row>
    <row r="38" spans="1:9" ht="15.75" thickBot="1">
      <c r="A38" s="508"/>
      <c r="B38" s="509" t="s">
        <v>142</v>
      </c>
      <c r="C38" s="496">
        <f aca="true" t="shared" si="7" ref="C38:I38">SUM(C28:C30,C35:C37)</f>
        <v>17598</v>
      </c>
      <c r="D38" s="496">
        <f t="shared" si="7"/>
        <v>11846</v>
      </c>
      <c r="E38" s="496">
        <f t="shared" si="7"/>
        <v>747</v>
      </c>
      <c r="F38" s="496">
        <f t="shared" si="7"/>
        <v>2</v>
      </c>
      <c r="G38" s="496">
        <f t="shared" si="7"/>
        <v>730</v>
      </c>
      <c r="H38" s="496">
        <f t="shared" si="7"/>
        <v>167</v>
      </c>
      <c r="I38" s="497">
        <f t="shared" si="7"/>
        <v>31090</v>
      </c>
    </row>
    <row r="39" ht="15">
      <c r="B39" s="276"/>
    </row>
    <row r="40" spans="1:4" ht="15">
      <c r="A40" s="510"/>
      <c r="B40" s="511"/>
      <c r="C40" s="512"/>
      <c r="D40" s="510"/>
    </row>
    <row r="41" spans="1:5" ht="15">
      <c r="A41" s="510"/>
      <c r="B41" s="476" t="s">
        <v>295</v>
      </c>
      <c r="C41" s="512"/>
      <c r="D41" s="510"/>
      <c r="E41" s="475" t="s">
        <v>17</v>
      </c>
    </row>
    <row r="48" spans="1:3" ht="20.25">
      <c r="A48" s="548"/>
      <c r="B48" s="548"/>
      <c r="C48" s="548"/>
    </row>
    <row r="49" spans="1:3" ht="15">
      <c r="A49" s="280"/>
      <c r="B49" s="283"/>
      <c r="C49" s="280"/>
    </row>
    <row r="50" spans="1:4" ht="15">
      <c r="A50" s="420"/>
      <c r="B50" s="421"/>
      <c r="C50" s="422"/>
      <c r="D50" s="295"/>
    </row>
    <row r="51" spans="1:3" ht="15">
      <c r="A51" s="420"/>
      <c r="B51" s="421"/>
      <c r="C51" s="423"/>
    </row>
    <row r="52" ht="15">
      <c r="B52" s="424"/>
    </row>
    <row r="53" ht="15">
      <c r="B53" s="424"/>
    </row>
    <row r="54" ht="15">
      <c r="B54" s="424"/>
    </row>
    <row r="55" spans="1:2" ht="15">
      <c r="A55" s="420"/>
      <c r="B55" s="421"/>
    </row>
  </sheetData>
  <sheetProtection/>
  <mergeCells count="3">
    <mergeCell ref="A13:H13"/>
    <mergeCell ref="A26:F26"/>
    <mergeCell ref="A48:C48"/>
  </mergeCells>
  <printOptions/>
  <pageMargins left="0.5905511811023623" right="0.15748031496062992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Maija Ozola</cp:lastModifiedBy>
  <cp:lastPrinted>2018-01-15T15:30:05Z</cp:lastPrinted>
  <dcterms:created xsi:type="dcterms:W3CDTF">2004-01-19T11:58:34Z</dcterms:created>
  <dcterms:modified xsi:type="dcterms:W3CDTF">2018-06-14T12:33:53Z</dcterms:modified>
  <cp:category/>
  <cp:version/>
  <cp:contentType/>
  <cp:contentStatus/>
</cp:coreProperties>
</file>